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updateLinks="never" codeName="ЭтаКнига"/>
  <mc:AlternateContent xmlns:mc="http://schemas.openxmlformats.org/markup-compatibility/2006">
    <mc:Choice Requires="x15">
      <x15ac:absPath xmlns:x15ac="http://schemas.microsoft.com/office/spreadsheetml/2010/11/ac" url="\\dkc-tvr-fs\Exchange\Users\Тулуева Виктория Алексеевна\"/>
    </mc:Choice>
  </mc:AlternateContent>
  <xr:revisionPtr revIDLastSave="0" documentId="13_ncr:1_{76B1D349-EA76-4A3C-935D-8D7575AB442A}" xr6:coauthVersionLast="37" xr6:coauthVersionMax="37" xr10:uidLastSave="{00000000-0000-0000-0000-000000000000}"/>
  <bookViews>
    <workbookView xWindow="0" yWindow="0" windowWidth="19200" windowHeight="6165" xr2:uid="{00000000-000D-0000-FFFF-FFFF00000000}"/>
  </bookViews>
  <sheets>
    <sheet name="Конфигуратор" sheetId="4" r:id="rId1"/>
    <sheet name="Лист2" sheetId="6" state="hidden" r:id="rId2"/>
    <sheet name="Реле" sheetId="2" state="hidden" r:id="rId3"/>
    <sheet name="Колодки и аксессуары" sheetId="7" state="hidden" r:id="rId4"/>
    <sheet name="IRK" sheetId="9" state="hidden" r:id="rId5"/>
    <sheet name="Модули" sheetId="8" state="hidden" r:id="rId6"/>
    <sheet name="Списки" sheetId="5" state="hidden" r:id="rId7"/>
    <sheet name="Черновик" sheetId="1" state="hidden" r:id="rId8"/>
  </sheets>
  <externalReferences>
    <externalReference r:id="rId9"/>
  </externalReferences>
  <definedNames>
    <definedName name="_xlnm._FilterDatabase" localSheetId="3" hidden="1">'Колодки и аксессуары'!$A$1:$X$31</definedName>
    <definedName name="_xlnm._FilterDatabase" localSheetId="1" hidden="1">Лист2!$B$1:$E$28</definedName>
    <definedName name="_xlnm._FilterDatabase" localSheetId="5" hidden="1">Модули!$A$1:$K$28</definedName>
    <definedName name="_xlnm._FilterDatabase" localSheetId="2" hidden="1">Реле!$A$1:$K$81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4" l="1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C22" i="6"/>
  <c r="C26" i="4" l="1"/>
  <c r="C24" i="4"/>
  <c r="H5" i="8" l="1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J26" i="6" l="1"/>
  <c r="C20" i="4"/>
  <c r="J24" i="6"/>
  <c r="C22" i="4" l="1"/>
  <c r="J28" i="6" l="1"/>
  <c r="D14" i="5" l="1"/>
  <c r="B26" i="6" l="1"/>
  <c r="J24" i="8" l="1"/>
  <c r="H4" i="8"/>
  <c r="H3" i="8"/>
  <c r="H2" i="8"/>
  <c r="J2" i="8" s="1"/>
  <c r="J18" i="8"/>
  <c r="G15" i="6"/>
  <c r="G13" i="6"/>
  <c r="C39" i="4"/>
  <c r="H5" i="6" l="1"/>
  <c r="H4" i="6"/>
  <c r="J11" i="2" l="1"/>
  <c r="J12" i="2"/>
  <c r="J13" i="2"/>
  <c r="J68" i="2"/>
  <c r="J10" i="2"/>
  <c r="J14" i="2"/>
  <c r="J15" i="2"/>
  <c r="J18" i="2"/>
  <c r="J19" i="2"/>
  <c r="J20" i="2"/>
  <c r="J21" i="2"/>
  <c r="J22" i="2"/>
  <c r="J57" i="2"/>
  <c r="J69" i="2"/>
  <c r="J16" i="2"/>
  <c r="J17" i="2"/>
  <c r="J27" i="2"/>
  <c r="J28" i="2"/>
  <c r="J29" i="2"/>
  <c r="J30" i="2"/>
  <c r="J31" i="2"/>
  <c r="J32" i="2"/>
  <c r="J58" i="2"/>
  <c r="J70" i="2"/>
  <c r="J23" i="2"/>
  <c r="J24" i="2"/>
  <c r="J25" i="2"/>
  <c r="J38" i="2"/>
  <c r="J39" i="2"/>
  <c r="J40" i="2"/>
  <c r="J41" i="2"/>
  <c r="J42" i="2"/>
  <c r="J43" i="2"/>
  <c r="J59" i="2"/>
  <c r="J74" i="2"/>
  <c r="J26" i="2"/>
  <c r="J33" i="2"/>
  <c r="J34" i="2"/>
  <c r="J49" i="2"/>
  <c r="J50" i="2"/>
  <c r="J51" i="2"/>
  <c r="J48" i="2"/>
  <c r="J55" i="2"/>
  <c r="J77" i="2"/>
  <c r="J52" i="2"/>
  <c r="J53" i="2"/>
  <c r="J54" i="2"/>
  <c r="J66" i="2"/>
  <c r="J75" i="2"/>
  <c r="J35" i="2"/>
  <c r="J36" i="2"/>
  <c r="J37" i="2"/>
  <c r="J60" i="2"/>
  <c r="J61" i="2"/>
  <c r="J62" i="2"/>
  <c r="J78" i="2"/>
  <c r="J79" i="2"/>
  <c r="J80" i="2"/>
  <c r="J81" i="2"/>
  <c r="J63" i="2"/>
  <c r="J64" i="2"/>
  <c r="J65" i="2"/>
  <c r="J67" i="2"/>
  <c r="J76" i="2"/>
  <c r="J44" i="2"/>
  <c r="J45" i="2"/>
  <c r="J46" i="2"/>
  <c r="J71" i="2"/>
  <c r="J72" i="2"/>
  <c r="J73" i="2"/>
  <c r="J47" i="2"/>
  <c r="J3" i="2"/>
  <c r="J2" i="2"/>
  <c r="J5" i="2"/>
  <c r="J4" i="2"/>
  <c r="J7" i="2"/>
  <c r="J6" i="2"/>
  <c r="J9" i="2"/>
  <c r="J8" i="2"/>
  <c r="J56" i="2"/>
  <c r="G29" i="7"/>
  <c r="C5" i="6" l="1"/>
  <c r="C4" i="6"/>
  <c r="F4" i="6" s="1"/>
  <c r="C21" i="6" l="1"/>
  <c r="A21" i="6" s="1"/>
  <c r="C20" i="6"/>
  <c r="C19" i="6"/>
  <c r="A19" i="6" s="1"/>
  <c r="B19" i="6" s="1"/>
  <c r="C37" i="4"/>
  <c r="C16" i="6"/>
  <c r="A16" i="6" s="1"/>
  <c r="B16" i="6" s="1"/>
  <c r="C35" i="4"/>
  <c r="C33" i="4"/>
  <c r="C31" i="4"/>
  <c r="A4" i="6"/>
  <c r="A5" i="6"/>
  <c r="F5" i="6"/>
  <c r="G17" i="6"/>
  <c r="G18" i="6"/>
  <c r="I24" i="8"/>
  <c r="I18" i="8"/>
  <c r="I2" i="8"/>
  <c r="B5" i="6" l="1"/>
  <c r="E16" i="6"/>
  <c r="D16" i="6"/>
  <c r="I5" i="8"/>
  <c r="J5" i="8"/>
  <c r="I13" i="8"/>
  <c r="J13" i="8"/>
  <c r="I17" i="8"/>
  <c r="J17" i="8"/>
  <c r="I26" i="8"/>
  <c r="J26" i="8"/>
  <c r="I16" i="8"/>
  <c r="J16" i="8"/>
  <c r="I14" i="8"/>
  <c r="J14" i="8"/>
  <c r="I7" i="8"/>
  <c r="J7" i="8"/>
  <c r="I6" i="8"/>
  <c r="J6" i="8"/>
  <c r="I4" i="8"/>
  <c r="J4" i="8"/>
  <c r="I3" i="8"/>
  <c r="J3" i="8"/>
  <c r="I8" i="8"/>
  <c r="J8" i="8"/>
  <c r="I12" i="8"/>
  <c r="J12" i="8"/>
  <c r="I11" i="8"/>
  <c r="J11" i="8"/>
  <c r="I10" i="8"/>
  <c r="J10" i="8"/>
  <c r="I9" i="8"/>
  <c r="J9" i="8"/>
  <c r="I19" i="8"/>
  <c r="J19" i="8"/>
  <c r="I20" i="8"/>
  <c r="J20" i="8"/>
  <c r="I21" i="8"/>
  <c r="J21" i="8"/>
  <c r="I22" i="8"/>
  <c r="J22" i="8"/>
  <c r="I23" i="8"/>
  <c r="J23" i="8"/>
  <c r="I25" i="8"/>
  <c r="J25" i="8"/>
  <c r="I27" i="8"/>
  <c r="J27" i="8"/>
  <c r="I28" i="8"/>
  <c r="J28" i="8"/>
  <c r="I15" i="8"/>
  <c r="J15" i="8"/>
  <c r="G5" i="6"/>
  <c r="G4" i="6"/>
  <c r="C24" i="6" l="1"/>
  <c r="A24" i="6" s="1"/>
  <c r="L1" i="2"/>
  <c r="M1" i="2"/>
  <c r="D24" i="6" l="1"/>
  <c r="C25" i="7"/>
  <c r="G25" i="7" s="1"/>
  <c r="C24" i="7"/>
  <c r="G24" i="7" s="1"/>
  <c r="C23" i="7"/>
  <c r="G23" i="7" s="1"/>
  <c r="C20" i="7"/>
  <c r="G20" i="7" s="1"/>
  <c r="C22" i="7"/>
  <c r="G22" i="7" s="1"/>
  <c r="C19" i="7"/>
  <c r="G19" i="7" s="1"/>
  <c r="C21" i="7"/>
  <c r="G21" i="7" s="1"/>
  <c r="C17" i="7"/>
  <c r="G17" i="7" s="1"/>
  <c r="C18" i="7"/>
  <c r="G18" i="7" s="1"/>
  <c r="C16" i="7"/>
  <c r="G16" i="7" s="1"/>
  <c r="G31" i="7"/>
  <c r="G28" i="7"/>
  <c r="G30" i="7"/>
  <c r="G26" i="7"/>
  <c r="G27" i="7"/>
  <c r="C12" i="7"/>
  <c r="G12" i="7" s="1"/>
  <c r="C14" i="7"/>
  <c r="G14" i="7" s="1"/>
  <c r="C13" i="7"/>
  <c r="G13" i="7" s="1"/>
  <c r="C15" i="7"/>
  <c r="G15" i="7" s="1"/>
  <c r="C10" i="7"/>
  <c r="G10" i="7" s="1"/>
  <c r="C9" i="7"/>
  <c r="G9" i="7" s="1"/>
  <c r="C11" i="7"/>
  <c r="G11" i="7" s="1"/>
  <c r="C5" i="7"/>
  <c r="G5" i="7" s="1"/>
  <c r="C8" i="7"/>
  <c r="G8" i="7" s="1"/>
  <c r="C6" i="7"/>
  <c r="G6" i="7" s="1"/>
  <c r="C7" i="7"/>
  <c r="G7" i="7" s="1"/>
  <c r="C3" i="7"/>
  <c r="G3" i="7" s="1"/>
  <c r="C2" i="7"/>
  <c r="G2" i="7" s="1"/>
  <c r="C4" i="7"/>
  <c r="G4" i="7" s="1"/>
  <c r="C10" i="6" l="1"/>
  <c r="C8" i="6"/>
  <c r="C13" i="6" s="1"/>
  <c r="C14" i="6" s="1"/>
  <c r="C9" i="6"/>
  <c r="A20" i="6"/>
  <c r="C3" i="2"/>
  <c r="C4" i="2"/>
  <c r="C5" i="2"/>
  <c r="C6" i="2"/>
  <c r="C7" i="2"/>
  <c r="C8" i="2"/>
  <c r="C9" i="2"/>
  <c r="C2" i="2"/>
  <c r="B20" i="6" l="1"/>
  <c r="B21" i="6"/>
  <c r="A13" i="6"/>
  <c r="C12" i="6"/>
  <c r="A12" i="6" s="1"/>
  <c r="C15" i="6"/>
  <c r="C11" i="6"/>
  <c r="A11" i="6" s="1"/>
  <c r="C23" i="6"/>
  <c r="A22" i="6"/>
  <c r="B22" i="6" s="1"/>
  <c r="G9" i="6"/>
  <c r="G10" i="6"/>
  <c r="E19" i="6"/>
  <c r="D19" i="6"/>
  <c r="E20" i="6"/>
  <c r="D20" i="6"/>
  <c r="E21" i="6"/>
  <c r="D21" i="6"/>
  <c r="E24" i="6"/>
  <c r="D15" i="6" l="1"/>
  <c r="A15" i="6"/>
  <c r="A14" i="6"/>
  <c r="E14" i="6"/>
  <c r="D14" i="6"/>
  <c r="B11" i="6"/>
  <c r="C41" i="4"/>
  <c r="E15" i="6"/>
  <c r="D13" i="6"/>
  <c r="E13" i="6"/>
  <c r="B18" i="6"/>
  <c r="B25" i="6" s="1"/>
  <c r="A10" i="6"/>
  <c r="E10" i="6"/>
  <c r="E23" i="6"/>
  <c r="A23" i="6"/>
  <c r="B23" i="6" s="1"/>
  <c r="D23" i="6"/>
  <c r="E22" i="6"/>
  <c r="D22" i="6"/>
  <c r="B24" i="6" l="1"/>
  <c r="C18" i="4"/>
  <c r="L15" i="4"/>
  <c r="J7" i="4"/>
  <c r="A1" i="6" l="1"/>
  <c r="D10" i="6" l="1"/>
  <c r="G8" i="6"/>
  <c r="E5" i="6"/>
  <c r="D5" i="6"/>
  <c r="E4" i="6"/>
  <c r="D4" i="6"/>
  <c r="D9" i="6" l="1"/>
  <c r="B3" i="6"/>
  <c r="B6" i="6" s="1"/>
  <c r="B4" i="6"/>
  <c r="A8" i="6" l="1"/>
  <c r="D11" i="6"/>
  <c r="D8" i="6"/>
  <c r="E8" i="6"/>
  <c r="E9" i="6"/>
  <c r="A9" i="6"/>
  <c r="B9" i="6" s="1"/>
  <c r="B13" i="6" l="1"/>
  <c r="B14" i="6"/>
  <c r="B12" i="6"/>
  <c r="B15" i="6"/>
  <c r="B10" i="6"/>
  <c r="B8" i="6"/>
  <c r="E11" i="6"/>
  <c r="D12" i="6"/>
  <c r="E12" i="6"/>
  <c r="A25" i="6" l="1"/>
  <c r="B7" i="6"/>
  <c r="B17" i="6" s="1"/>
  <c r="B2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Панахов Фарид Магеррам Оглы</author>
  </authors>
  <commentList>
    <comment ref="T6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Фиксатор не применяется, поэтому пустота. </t>
        </r>
      </text>
    </comment>
    <comment ref="X6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К этой колодке подходит один вид шинного соединителя, разница только в цвете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Панахов Фарид Магеррам Оглы</author>
  </authors>
  <commentList>
    <comment ref="F2" authorId="0" shapeId="0" xr:uid="{06E0CEE1-A626-411B-8504-04634C91E08A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" authorId="0" shapeId="0" xr:uid="{2BE184E3-5B55-4C22-B8CC-1688A261416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3" authorId="0" shapeId="0" xr:uid="{9407C3F0-1479-4C09-80A3-3B44CE10989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4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4" authorId="0" shapeId="0" xr:uid="{B665A83C-2EAD-42F9-9EE6-C79D9D480AA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4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4" authorId="0" shapeId="0" xr:uid="{7EC0A3F5-81BD-4FF6-90CE-A2322C52AF5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4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6" authorId="0" shapeId="0" xr:uid="{346F9209-EBE2-417A-AE52-4F991501FB8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6" authorId="0" shapeId="0" xr:uid="{D018E242-5E17-43AA-83B0-9B83490110F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7" authorId="0" shapeId="0" xr:uid="{54EC8634-83B8-4817-B870-1E7135DC0CB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8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8" authorId="0" shapeId="0" xr:uid="{923B7E51-42BA-4665-A20A-EA11D28A1C4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8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8" authorId="0" shapeId="0" xr:uid="{6C6F42C3-7898-4A69-8845-70F9CE2173D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8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9" authorId="0" shapeId="0" xr:uid="{533DDC8E-008E-4FF4-BF93-A42A3CEA1D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9" authorId="0" shapeId="0" xr:uid="{5EBA9B94-7CAA-4240-B747-AFDEA2A5634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0" authorId="0" shapeId="0" xr:uid="{2CE04DFC-9FD9-468E-A3BA-AB15D2695654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1" authorId="0" shapeId="0" xr:uid="{B32402C7-1184-4826-8070-6B3515C5CE3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11" authorId="0" shapeId="0" xr:uid="{B15A187B-9EA3-4013-8735-5A0EEB46827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11" authorId="0" shapeId="0" xr:uid="{0031A79C-2B1E-4331-AA8A-8E3C7212D38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11" authorId="0" shapeId="0" xr:uid="{9056E40B-52E4-4A4E-BD4B-C8BCC7CB15E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11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3" authorId="0" shapeId="0" xr:uid="{F751F9DB-CA41-47FC-8BB6-AAE8D12E956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3" authorId="0" shapeId="0" xr:uid="{0A72FB82-D26F-4132-9EC8-882C3C8E6D41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4" authorId="0" shapeId="0" xr:uid="{6D30D1DC-C0E0-4AFC-B4F1-2FD1C2898174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5" authorId="0" shapeId="0" xr:uid="{3DB7B100-BE51-44C7-8E1D-E8F3D7D647B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15" authorId="0" shapeId="0" xr:uid="{11E66A77-E2EC-4E5E-B45A-8991E098981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L15" authorId="0" shapeId="0" xr:uid="{43677FCF-3EA3-4816-912C-5580814C7B94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15" authorId="0" shapeId="0" xr:uid="{08741266-4923-40A0-8DC0-26B0A627E40A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O15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1CO-D и 2CO-D (то есть только в тех реле где есть кнопка тест)</t>
        </r>
      </text>
    </comment>
    <comment ref="F16" authorId="0" shapeId="0" xr:uid="{1B42322C-6EB2-46C4-BF29-054E873712B5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F17" authorId="0" shapeId="0" xr:uid="{5603130F-C5DA-4AE1-B673-8C589977A74A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7" authorId="0" shapeId="0" xr:uid="{FB5911D5-C65E-4F61-835B-8263D903C60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18" authorId="0" shapeId="0" xr:uid="{00000000-0006-0000-0000-000013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18" authorId="0" shapeId="0" xr:uid="{77E70092-31C8-4D77-9284-D1FC758C25B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18" authorId="0" shapeId="0" xr:uid="{18FC82F7-A5B9-4A10-859B-C94C7D24E8B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18" authorId="0" shapeId="0" xr:uid="{7AA21A9C-5A16-499D-8EE9-896325012F2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19" authorId="0" shapeId="0" xr:uid="{E6C71B8F-1C62-4C45-9A45-1EE9FDCA1878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19" authorId="0" shapeId="0" xr:uid="{6A8D62D8-99C6-42AA-BF5A-C8BC287D759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0" authorId="0" shapeId="0" xr:uid="{AC1C941D-1A42-4DF9-AB33-302A7DCD259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0" authorId="0" shapeId="0" xr:uid="{BFCD0F74-535E-4356-AA1E-93534E6BA5A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1" authorId="0" shapeId="0" xr:uid="{1C34713E-EA98-465D-87B5-6D1710A43B12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21" authorId="0" shapeId="0" xr:uid="{690DF042-DBEB-4A33-A22B-F861ACD0B81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21" authorId="0" shapeId="0" xr:uid="{B63D877C-8702-471F-B4C7-F2D3BAD5FDF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21" authorId="0" shapeId="0" xr:uid="{D73DEFFF-8408-4F4D-9837-0FC901736E5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2" authorId="0" shapeId="0" xr:uid="{DE3D0358-4A8A-467F-AB6F-D035FAC62BE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1CO, 2CO, 1CO-D, 2CO-D,
если в пункте выбора материала фиксатора выбирать пластик, то в спецификации должен отображаться этот</t>
        </r>
      </text>
    </comment>
    <comment ref="K22" authorId="0" shapeId="0" xr:uid="{6D4C7235-90F1-46C3-A832-E1D54FBCF523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22" authorId="0" shapeId="0" xr:uid="{1D06811C-76CF-43D8-992B-8025CD645FF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22" authorId="0" shapeId="0" xr:uid="{1A948F39-F588-4340-820B-4F6B0A069AE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3" authorId="0" shapeId="0" xr:uid="{00000000-0006-0000-0000-000015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K23" authorId="0" shapeId="0" xr:uid="{91D9BD3B-6B40-4945-969B-1256CB9CF04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L23" authorId="0" shapeId="0" xr:uid="{943DD656-5D93-4B5D-BCF2-3860004776CD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F24" authorId="0" shapeId="0" xr:uid="{00000000-0006-0000-0000-000017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K24" authorId="0" shapeId="0" xr:uid="{A6A78AAF-0D4E-4FC4-BF3F-F73BD5C6ACA8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F25" authorId="0" shapeId="0" xr:uid="{00000000-0006-0000-0000-000016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K25" authorId="0" shapeId="0" xr:uid="{294A16AB-03B5-4785-B2E2-E46E314F926C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Пластиковый фиксатор, который подходит ко всем видам колодок серии IRM</t>
        </r>
      </text>
    </comment>
    <comment ref="F26" authorId="0" shapeId="0" xr:uid="{6B08DF22-D7A7-4EDC-A3A4-6A47CE3337B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6" authorId="0" shapeId="0" xr:uid="{97761CCE-3CCB-45EB-A07C-46006A4D78F7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7" authorId="0" shapeId="0" xr:uid="{00000000-0006-0000-0000-000018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27" authorId="0" shapeId="0" xr:uid="{CF29EFEB-BB9D-4AC8-82E6-7C1E3115870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27" authorId="0" shapeId="0" xr:uid="{CE4CE711-31B8-4579-A209-AFD776C4C88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27" authorId="0" shapeId="0" xr:uid="{B09A3C30-3D0A-4E60-B2B4-84A3A84F1CA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8" authorId="0" shapeId="0" xr:uid="{AEDED235-5576-4429-AB3B-17CA92B67121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8" authorId="0" shapeId="0" xr:uid="{322BDCD1-9367-4F67-8F97-A8F9D9D4E41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29" authorId="0" shapeId="0" xr:uid="{07E6EC83-5A41-457B-AFFB-7E01C54A32D6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K29" authorId="0" shapeId="0" xr:uid="{3B16A163-FB9B-4612-B373-A1833755B6EB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30" authorId="0" shapeId="0" xr:uid="{00000000-0006-0000-0000-00001A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30" authorId="0" shapeId="0" xr:uid="{60BCFB2F-EDD0-4B49-B065-D1182B0ACC7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30" authorId="0" shapeId="0" xr:uid="{5167E495-8B72-4F2D-955B-BD5EF1BB749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30" authorId="0" shapeId="0" xr:uid="{E11B5369-2685-4794-B271-C89A66089D99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  <comment ref="F31" authorId="0" shapeId="0" xr:uid="{00000000-0006-0000-0000-00001C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K31" authorId="0" shapeId="0" xr:uid="{3A1FD61C-4D13-4986-B94A-F95EDE41B1E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пластиковый, он универсален для любого типа реле, 
что для 4CO, W2CO, 4CO-D, W2CO-D,
если в пункте выбора материала фиксатора выбирать пластик, то в спецификации должен отображаться этот</t>
        </r>
      </text>
    </comment>
    <comment ref="L31" authorId="0" shapeId="0" xr:uid="{67D15DDD-0673-4EAD-BC78-03A7DAEF339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Данный фиксатор металлический. Подходит только к реле типа 1CO и 2CO (то есть без кнопки тест)</t>
        </r>
      </text>
    </comment>
    <comment ref="M31" authorId="0" shapeId="0" xr:uid="{BA8BB84E-6ED1-4C57-9FB4-652F0285455F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Этот фиксатор металлический, он универсален для любого типа реле, 
что для 4CO, W2CO, 4CO-D, W2CO-D,
если в пункте выбора материала фиксатора выбирать металл, то в спецификации должен отображаться этот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Панахов Фарид Магеррам Оглы</author>
  </authors>
  <commentList>
    <comment ref="A1" authorId="0" shapeId="0" xr:uid="{00000000-0006-0000-0000-00001E000000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Модуль индикации и защиты идет как дополнительный аксессуар, который устанавливается в колодку и защищает реле </t>
        </r>
      </text>
    </comment>
    <comment ref="K1" authorId="0" shapeId="0" xr:uid="{5A71BF77-884C-4A05-A0A3-AED2D2D04A8E}">
      <text>
        <r>
          <rPr>
            <b/>
            <sz val="9"/>
            <color indexed="81"/>
            <rFont val="Tahoma"/>
            <family val="2"/>
            <charset val="204"/>
          </rPr>
          <t>Панахов Фарид Магеррам Оглы:</t>
        </r>
        <r>
          <rPr>
            <sz val="9"/>
            <color indexed="81"/>
            <rFont val="Tahoma"/>
            <family val="2"/>
            <charset val="204"/>
          </rPr>
          <t xml:space="preserve">
Модуль индикации и защиты идет как дополнительный аксессуар, который устанавливается в колодку и защищает реле </t>
        </r>
      </text>
    </comment>
  </commentList>
</comments>
</file>

<file path=xl/sharedStrings.xml><?xml version="1.0" encoding="utf-8"?>
<sst xmlns="http://schemas.openxmlformats.org/spreadsheetml/2006/main" count="1719" uniqueCount="413">
  <si>
    <t>IRK-24UC-1CO</t>
  </si>
  <si>
    <t>Реле интерфейсное, 1CO, ком. ток 6А, AgSnO2, напряжение 24V AC/DC, винтовые клеммы.</t>
  </si>
  <si>
    <t>IRK-24UC-1CO-PT</t>
  </si>
  <si>
    <t>Реле интерфейсное, 1CO, ком. ток 6А, AgSnO2, напряжение 24V AC/DC, push-in клеммы.</t>
  </si>
  <si>
    <t>IRK-230UC-1CO</t>
  </si>
  <si>
    <t>Реле интерфейсное, 1CO, ком. ток 6А, AgSnO2, напряжение 230V AC/DC, винтовые клеммы.</t>
  </si>
  <si>
    <t>IRK-230UC-1CO-PT</t>
  </si>
  <si>
    <t>Реле интерфейсное, 1CO, ком. ток 6А, AgSnO2, напряжение 230V AC/DC, push-in клеммы.</t>
  </si>
  <si>
    <t>IRK-12UC-1CO</t>
  </si>
  <si>
    <t>Реле интерфейсное, 1CO, ком. ток 6А, AgSnO2, напряжение 12V AC/DC, винтовые клеммы.</t>
  </si>
  <si>
    <t>IRK-12UC-1CO-PT</t>
  </si>
  <si>
    <t>Реле интерфейсное, 1CO, ком. ток 6А, AgSnO2, напряжение 12V AC/DC, push-in клеммы.</t>
  </si>
  <si>
    <t>IRK-110UC-1CO</t>
  </si>
  <si>
    <t>Реле интерфейсное, 1CO, ком. ток 6А, AgSnO2, напряжение 110V AC/DC, винтовые клеммы.</t>
  </si>
  <si>
    <t>IRK-110UC-1CO-PT</t>
  </si>
  <si>
    <t>Реле интерфейсное, 1CO, ком. ток 6А, AgSnO2, напряжение 110V AC/DC, push-in клеммы.</t>
  </si>
  <si>
    <t>RIS-60DC-1CO</t>
  </si>
  <si>
    <t>Реле миниатюрное ультратонкое, 1CO, ком. ток 6А, AgSnO2, напряжение 60V DC</t>
  </si>
  <si>
    <t>RIS-24DC-1CO</t>
  </si>
  <si>
    <t>Реле миниатюрное ультратонкое, 1CO, ком. ток 6А, AgSnO2, напряжение 24V DC</t>
  </si>
  <si>
    <t>RIS-12DC-1CO</t>
  </si>
  <si>
    <t>Реле миниатюрное ультратонкое, 1CO, ком. ток 6А, AgSnO2, напряжение 12V DC</t>
  </si>
  <si>
    <t>RIS-48DC-1CO</t>
  </si>
  <si>
    <t>Реле миниатюрное ультратонкое, 1CO, ком. ток 6А, AgSnO2, напряжение 48V DC</t>
  </si>
  <si>
    <t>IRK-B-PT-1</t>
  </si>
  <si>
    <t>Колодка ультратонкая для реле серии RIS, вх. напр. 6-24V DC, push-in клеммы</t>
  </si>
  <si>
    <t>IRK-B-PT-2</t>
  </si>
  <si>
    <t>Колодка ультратонкая для реле серии RIS, вх. напр. 6-24V AC/DC, push-in клеммы</t>
  </si>
  <si>
    <t>IRK-B-PT-3</t>
  </si>
  <si>
    <t>Колодка ультратонкая для реле серии RIS, вх. напр. 48V AC/DC, push-in клеммы</t>
  </si>
  <si>
    <t>IRK-B-PT-4</t>
  </si>
  <si>
    <t>Колодка ультратонкая для реле серии RIS, вх. напр. 110V AC/DC, push-in клеммы</t>
  </si>
  <si>
    <t>IRK-B-PT-5</t>
  </si>
  <si>
    <t>Колодка ультратонкая для реле серии RIS, вх. напр. 230V AC/DC, push-in клеммы</t>
  </si>
  <si>
    <t>IRK-B-SC-1</t>
  </si>
  <si>
    <t>Колодка ультратонкая для реле серии RIS, вх. напр. 6-24V DC, винт. клеммы</t>
  </si>
  <si>
    <t>IRK-B-SC-2</t>
  </si>
  <si>
    <t>Колодка ультратонкая для реле серии RIS, вх. напр. 6-24V AC/DC, винт. клеммы</t>
  </si>
  <si>
    <t>IRK-B-SC-3</t>
  </si>
  <si>
    <t>Колодка ультратонкая для реле серии RIS, вх. напр. 48V AC/DC, винт. клеммы</t>
  </si>
  <si>
    <t>IRK-B-SC-4</t>
  </si>
  <si>
    <t>Колодка ультратонкая для реле серии RIS, вх. напр. 110V AC/DC, винт. клеммы</t>
  </si>
  <si>
    <t>IRK-B-SC-5</t>
  </si>
  <si>
    <t>Колодка ультратонкая для реле серии RIS, вх. напр. 230V AC/DC, винт. клеммы</t>
  </si>
  <si>
    <t>IRK-AB-01</t>
  </si>
  <si>
    <t>20-ти полюсная шинная перемычка для колодки с винт. клеммами IRK, красный цвет</t>
  </si>
  <si>
    <t>IRK-AB-02</t>
  </si>
  <si>
    <t>20-ти полюсная шинная перемычка для колодки с винт. клеммами IRK, синий цвет</t>
  </si>
  <si>
    <t>IRK-AB-03</t>
  </si>
  <si>
    <t>20-ти полюсная шинная перемычка для колодки с винт. клеммами IRK, черный  цвет</t>
  </si>
  <si>
    <t>IRK-AB-04</t>
  </si>
  <si>
    <t>20-ти полюсная шинная перемычка для колодки с винт. клеммами IRK, 36A, 250V, оранжевый цвет</t>
  </si>
  <si>
    <t>IRK-MP</t>
  </si>
  <si>
    <t>Шильдик маркировочный для интерфейсных колодок версий IRK, IRKM. 64 шт.</t>
  </si>
  <si>
    <t>IR-B1-PT</t>
  </si>
  <si>
    <t>Колодка c клеммами push-in для реле на 1 группу контактов</t>
  </si>
  <si>
    <t>IR-B1-SC</t>
  </si>
  <si>
    <t>Колодка с винтовыми клеммами для реле на 1 группу контактов</t>
  </si>
  <si>
    <t>IR-B1-SK</t>
  </si>
  <si>
    <t>Колодка c винтовыми клеммами низкопрофильная для реле серии IR на 1 группу контактов</t>
  </si>
  <si>
    <t>IR-B2-PT</t>
  </si>
  <si>
    <t>Колодка c клеммами push-in для реле на 2 группы контактов</t>
  </si>
  <si>
    <t>IR-B2-SC</t>
  </si>
  <si>
    <t>Колодка с винтовыми клеммами для реле на 2 группы</t>
  </si>
  <si>
    <t>IR-B2-SK</t>
  </si>
  <si>
    <t>Колодка c винтовыми клеммами низкопрофильная для реле серии IR на 2 группы контактов</t>
  </si>
  <si>
    <t>IR-B4-SC-1</t>
  </si>
  <si>
    <t>Колодка низкопрофильная 2-х уровневая с винтовыми клеммами для реле на 4 группы</t>
  </si>
  <si>
    <t>IR-B4-SC-2</t>
  </si>
  <si>
    <t>Колодка 3-х уровневая с винтовыми клеммами для реле на 4 группы</t>
  </si>
  <si>
    <t>IR-B4-PT</t>
  </si>
  <si>
    <t>Колодка с клеммами push-in для реле на 4 группы</t>
  </si>
  <si>
    <t>IRM-B-PT</t>
  </si>
  <si>
    <t>Колодка с клеммами push-in для реле серии IRM</t>
  </si>
  <si>
    <t>IRM-B-SC-2</t>
  </si>
  <si>
    <t>Колодка с винтовыми клеммами для реле серии IRM</t>
  </si>
  <si>
    <t>IRM-B-SC-1</t>
  </si>
  <si>
    <t>Колодка с винтовыми клеммами 2-ух уровневая для реле серии IRM</t>
  </si>
  <si>
    <t>IR-B2W-PT</t>
  </si>
  <si>
    <t>Колодка с клеммами push-in для реле на 2 группы контактов версии IR-W2CO</t>
  </si>
  <si>
    <t>IR-B2W-SC-1</t>
  </si>
  <si>
    <t>Колодка низкопрофильная 2-х уровневая с винтовыми клеммами для реле на 2 группы контактов версии IR-W2CO</t>
  </si>
  <si>
    <t>IR-B2W-SC-2</t>
  </si>
  <si>
    <t>Колодка 3-х уровневая с винтовыми клеммами для реле на 2 группы контактов версии IR-W2CO</t>
  </si>
  <si>
    <t>IR-B3-SC</t>
  </si>
  <si>
    <t>Колодка с винтовыми клеммами для силового реле на 3 группы</t>
  </si>
  <si>
    <t>IR-24DC-1CO</t>
  </si>
  <si>
    <t>Реле миниатюрное промышленное, 1CO, ком. ток 12А, AgSnO2, напряжение 24V DC, опция: светодиод</t>
  </si>
  <si>
    <t>IR-24DC-1CO-D</t>
  </si>
  <si>
    <t>Реле миниатюрное промышленное, 1CO, ком. ток 12А, AgSnO2, напряжение 24V DC, опция: тест-кнопка+светодиод+защитный диод</t>
  </si>
  <si>
    <t>IR-230AC-1CO</t>
  </si>
  <si>
    <t>Реле миниатюрное промышленное, 1CO, ком. ток 12А, AgSnO2, напряжение 230V AC, опция: светодиод</t>
  </si>
  <si>
    <t>IR-230AC-1CO-D</t>
  </si>
  <si>
    <t>Реле миниатюрное промышленное, 1CO, ком. ток 12А, AgSnO2, напряжение 230V AC, опция: тест-кнопка+светодиод</t>
  </si>
  <si>
    <t>IR-24DC-2CO</t>
  </si>
  <si>
    <t>Реле миниатюрное промышленное, 2CO, ком. ток 8А, AgSnO2, напряжение 24V DC, опция: светодиод</t>
  </si>
  <si>
    <t>IR-24DC-2CO-D</t>
  </si>
  <si>
    <t>Реле миниатюрное промышленное, 2CO, ком. ток 8А, AgSnO2, напряжение 24V DC, опция: тест-кнопка+светодиод+защитный диод</t>
  </si>
  <si>
    <t>IR-24AC-2CO-D</t>
  </si>
  <si>
    <t>Реле миниатюрное промышленное, 2CO, ком. ток 8А, AgSnO2, напряжение 24V AC, опция: тест-кнопка+светодиод</t>
  </si>
  <si>
    <t>IR-230AC-2CO</t>
  </si>
  <si>
    <t>Реле миниатюрное промышленное, 2CO, ком. ток 8А, AgSnO2, напряжение 230V AC, опция: светодиод</t>
  </si>
  <si>
    <t>IR-230AC-2CO-D</t>
  </si>
  <si>
    <t>Реле миниатюрное промышленное, 2CO, ком. ток 8А, AgSnO2, напряжение 230V AC, опция: тест-кнопка+светодиод</t>
  </si>
  <si>
    <t>IRM-24DC-1CO</t>
  </si>
  <si>
    <t>Реле миниатюрное низкопрофильное, 1CO, ком. ток 16А, AgSnO2, напряжение 24V DC</t>
  </si>
  <si>
    <t>IRM-24DC-2CO</t>
  </si>
  <si>
    <t>Реле миниатюрное низкопрофильное, 2CO, ком. ток 8А, AgSnO2, напряжение 24V DC</t>
  </si>
  <si>
    <t>IRM-24AC-2CO</t>
  </si>
  <si>
    <t>Реле миниатюрное низкопрофильное, 2CO, ком. ток 8А, AgSnO2, напряжение 24V AC</t>
  </si>
  <si>
    <t>IRM-230AC-2CO</t>
  </si>
  <si>
    <t>Реле миниатюрное низкопрофильное, 2CO, ком. ток 8А, AgSnO2, напряжение 230V AC</t>
  </si>
  <si>
    <t>IR-24DC-4CO</t>
  </si>
  <si>
    <t>Реле миниатюрное промышленное общего назначения, 4CO, ком. ток 5А, AgSnO2, напряжение 24V DC, опция: светодиод</t>
  </si>
  <si>
    <t>IR-24DC-4CO-D</t>
  </si>
  <si>
    <t>Реле миниатюрное промышленное общего назначения, 4CO, ком. ток 6А, AgSnO2, напряжение 24V DC, опция: тест-кнопка+светодиод+защитный диод</t>
  </si>
  <si>
    <t>IR-230AC-4CO</t>
  </si>
  <si>
    <t>Реле миниатюрное промышленное общего назначения, 4CO, ком. ток 5А,AgSnO2, напряжение 230V AC, опция: светодиод</t>
  </si>
  <si>
    <t>IR-230AC-4CO-D</t>
  </si>
  <si>
    <t>Реле миниатюрное промышленное общего назначения, 4CO, ком. ток 6А, AgSnO2, напряжение 230V AC, опция: тест-кнопка+светодиод</t>
  </si>
  <si>
    <t>IR-24DC-W2CO</t>
  </si>
  <si>
    <t>Реле миниатюрное промышленное общего назначения, 2CO, ком. ток 10А, AgSnO2, напряжение 24V DC, опция: светодиод</t>
  </si>
  <si>
    <t>IR-24DC-W2CO-D</t>
  </si>
  <si>
    <t>Реле миниатюрное промышленное общего назначения, 2CO, ком. ток 12А, AgSnO2, напряжение 24V DC, опция: тест-кнопка+светодиод+защитный диод</t>
  </si>
  <si>
    <t>IR-230AC-W2CO-D</t>
  </si>
  <si>
    <t>Реле миниатюрное промышленное общего назначения, 2CO, ком. ток 12А, AgSnO2, напряжение 230V AC, опция: тест-кнопка+светодиод</t>
  </si>
  <si>
    <t>IR-24DC-3CO-D</t>
  </si>
  <si>
    <t>Реле миниатюрное силовое, 3CO, ком. ток 16А, AgSnO2, напряжение 24V DC, опция: тест-кнопка+светодиод+защитный диод</t>
  </si>
  <si>
    <t>IR-24AC-3CO-D</t>
  </si>
  <si>
    <t>Реле миниатюрное силовое, 3CO, ком. ток 16А, AgSnO2, напряжение 24V AC, опция: тест-кнопка+светодиод</t>
  </si>
  <si>
    <t>IR-230AC-3CO-D</t>
  </si>
  <si>
    <t>Реле миниатюрное силовое, 3CO, ком. ток 16А, AgSnO2, напряжение 230V AC, опция: тест-кнопка+светодиод</t>
  </si>
  <si>
    <t>IR-24AC-1CO</t>
  </si>
  <si>
    <t>Реле миниатюрное промышленное, 1CO, ком. ток 12А, AgSnO2, напряжение 24V AC, опция: светодиод</t>
  </si>
  <si>
    <t>IR-24AC-1CO-D</t>
  </si>
  <si>
    <t>Реле миниатюрное промышленное, 1CO, ком. ток 12А, AgSnO2, напряжение 24V AC, опция: тест-кнопка+светодиод</t>
  </si>
  <si>
    <t>IR-24AC-2CO</t>
  </si>
  <si>
    <t>Реле миниатюрное промышленное, 2CO, ком. ток 8А, AgSnO2, напряжение 24V AC, опция: светодиод</t>
  </si>
  <si>
    <t>IR-12DC-1CO</t>
  </si>
  <si>
    <t>Реле миниатюрное промышленное, 1CO, ком. ток 12А, AgSnO2, напряжение 12V DC, опция: светодиод</t>
  </si>
  <si>
    <t>IR-12DC-1CO-D</t>
  </si>
  <si>
    <t>Реле миниатюрное промышленное, 1CO, ком. ток 12А, AgSnO2, напряжение 12V DC, опция: тест-кнопка+светодиод+защитный диод</t>
  </si>
  <si>
    <t>IR-12AC-1CO</t>
  </si>
  <si>
    <t>Реле миниатюрное промышленное, 1CO, ком. ток 12А, AgSnO2, напряжение 12V AC, опция: светодиод</t>
  </si>
  <si>
    <t>IR-12AC-1CO-D</t>
  </si>
  <si>
    <t>Реле миниатюрное промышленное, 1CO, ком. ток 12А, AgSnO2, напряжение 12V AC, опция: тест-кнопка+светодиод</t>
  </si>
  <si>
    <t>IR-115AC-1CO</t>
  </si>
  <si>
    <t>Реле миниатюрное промышленное, 1CO, ком. ток 12А, AgSnO2, напряжение 115V AC, опция: светодиод</t>
  </si>
  <si>
    <t>IR-115AC-1CO-D</t>
  </si>
  <si>
    <t>Реле миниатюрное промышленное, 1CO, ком. ток 12А, AgSnO2, напряжение 115V AC, опция: тест-кнопка+светодиод</t>
  </si>
  <si>
    <t>IR-12DC-2CO</t>
  </si>
  <si>
    <t>Реле миниатюрное промышленное, 2CO, ком. ток 8А, AgSnO2, напряжение 12V DC, опция: светодиод</t>
  </si>
  <si>
    <t>IR-12DC-2CO-D</t>
  </si>
  <si>
    <t>Реле миниатюрное промышленное, 2CO, ком. ток 8А, AgSnO2, напряжение 12V DC, опция: тест-кнопка+светодиод+защитный диод</t>
  </si>
  <si>
    <t>IR-110DC-2CO-D</t>
  </si>
  <si>
    <t>Реле миниатюрное промышленное, 2CO, ком. ток 8А, AgSnO₂, напряжение 110V DC, опция: тест-кнопка+светодиод+защитный диод</t>
  </si>
  <si>
    <t>IR-12AC-2CO</t>
  </si>
  <si>
    <t>Реле миниатюрное промышленное, 2CO, ком. ток 8А, AgSnO2, напряжение 12V AC, опция: светодиод</t>
  </si>
  <si>
    <t>IR-12AC-2CO-D</t>
  </si>
  <si>
    <t>Реле миниатюрное промышленное, 2CO, ком. ток 8А, AgSnO2, напряжение 12V AC, опция: тест-кнопка+светодиод</t>
  </si>
  <si>
    <t>IR-115AC-2CO</t>
  </si>
  <si>
    <t>Реле миниатюрное промышленное, 2CO, ком. ток 8А, AgSnO2, напряжение 115V AC, опция: светодиод</t>
  </si>
  <si>
    <t>IR-115AC-2CO-D</t>
  </si>
  <si>
    <t>Реле миниатюрное промышленное, 2CO, ком. ток 8А, AgSnO2, напряжение 115V AC, опция: тест-кнопка+светодиод</t>
  </si>
  <si>
    <t>IRM-12DC-1CO</t>
  </si>
  <si>
    <t>Реле миниатюрное низкопрофильное, 1CO, ком. ток 16А, AgSnO2, напряжение 12V DC</t>
  </si>
  <si>
    <t>IRM-24AC-1CO</t>
  </si>
  <si>
    <t>Реле миниатюрное низкопрофильное, 1CO, ком. ток 16А, AgSnO2, напряжение 24V AC</t>
  </si>
  <si>
    <t>IRM-115AC-1CO</t>
  </si>
  <si>
    <t>Реле миниатюрное низкопрофильное, 1CO, ком. ток 16А, AgSnO2, напряжение 115V AC</t>
  </si>
  <si>
    <t>IRM-12DC-2CO</t>
  </si>
  <si>
    <t>Реле миниатюрное низкопрофильное, 2CO, ком. ток 8А, AgSnO2, напряжение 12V DC</t>
  </si>
  <si>
    <t>IRM-48DC-2CO</t>
  </si>
  <si>
    <t>Реле миниатюрное низкопрофильное, 2CO, ком. ток 8А, AgSnO₂, напряжение 48V DC</t>
  </si>
  <si>
    <t>IRM-110DC-2CO</t>
  </si>
  <si>
    <t>Реле миниатюрное низкопрофильное, 2CO, ком. ток 8А, AgSnO₂, напряжение 110V DC</t>
  </si>
  <si>
    <t>IRM-115AC-2CO</t>
  </si>
  <si>
    <t>Реле миниатюрное низкопрофильное, 2CO, ком. ток 8А, AgSnO2, напряжение 115V AC</t>
  </si>
  <si>
    <t>IRM-230AC-1CO</t>
  </si>
  <si>
    <t>Реле миниатюрное низкопрофильное, 1CO, ком. ток 16А, AgSnO2, напряжение 230V AC</t>
  </si>
  <si>
    <t>IR-12DC-4CO</t>
  </si>
  <si>
    <t>Реле миниатюрное промышленное общего назначения, 4CO, ком. ток 5А, AgSnO2, напряжение 12V DC, опция: светодиод</t>
  </si>
  <si>
    <t>IR-12DC-4CO-D</t>
  </si>
  <si>
    <t>Реле миниатюрное промышленное общего назначения, 4CO, ком. ток 6А, AgSnO2, напряжение 12V DC, опция: тест-кнопка+светодиод+защитный диод</t>
  </si>
  <si>
    <t>IR-110DC-4CO-D</t>
  </si>
  <si>
    <t>Реле миниатюрное промышленное общего назначения, 4CO, ком. ток 6А, AgSnO₂, напряжение 110V DC, опция: тест-кнопка+светодиод+защитный диод</t>
  </si>
  <si>
    <t>IR-220DC-4CO</t>
  </si>
  <si>
    <t>Реле миниатюрное промышленное общего назначения, 4CO, ком. ток 5А, AgSnO2, напряжение 220V DC, опция: светодиод</t>
  </si>
  <si>
    <t>IR-220DC-4CO-D</t>
  </si>
  <si>
    <t>Реле миниатюрное промышленное общего назначения c норм. срабатыванием 0,6UN , 4CO, ком. ток 6А, AgSnO2, напряжение 220V DC, опция: тест- кнопка+светодиод+защитный диод</t>
  </si>
  <si>
    <t>IR-12AC-4CO</t>
  </si>
  <si>
    <t>Реле миниатюрное промышленное общего назначения, 4CO, ком. ток 5А, AgSnO2, напряжение 12V AC, опция: светодиод</t>
  </si>
  <si>
    <t>IR-12AC-4CO-D</t>
  </si>
  <si>
    <t>Реле миниатюрное промышленное общего назначения, 4CO, ком. ток 6А, AgSnO2, напряжение 12V AC, опция: тест-кнопка+светодиод</t>
  </si>
  <si>
    <t>IR-24AC-4CO</t>
  </si>
  <si>
    <t>Реле миниатюрное промышленное общего назначения, 4CO, ком. ток 5А, AgSnO2, напряжение 24V AC, опция: светодиод</t>
  </si>
  <si>
    <t>IR-24AC-4CO-D</t>
  </si>
  <si>
    <t>Реле миниатюрное промышленное общего назначения, 4CO, ком. ток 6А, AgSnO2, напряжение 24V AC, опция: тест-кнопка+светодиод</t>
  </si>
  <si>
    <t>IR-115AC-4CO</t>
  </si>
  <si>
    <t>Реле миниатюрное промышленное общего назначения, 4CO, ком. ток 5А, AgSnO2, напряжение 115V AC, опция: светодиод</t>
  </si>
  <si>
    <t>IR-115AC-4CO-D</t>
  </si>
  <si>
    <t>Реле миниатюрное промышленное общего назначения, 4CO, ком. ток 6А, AgSnO2, напряжение 115V AC, опция: тест-кнопка+светодиод</t>
  </si>
  <si>
    <t>IR-12DC-W2CO</t>
  </si>
  <si>
    <t>Реле миниатюрное промышленное общего назначения, 2CO, ком. ток 10А, AgSnO2, напряжение 12V DC, опция: светодиод</t>
  </si>
  <si>
    <t>IR-12DC-W2CO-D</t>
  </si>
  <si>
    <t>Реле миниатюрное промышленное общего назначения, 2CO, ком. ток 12А, AgSnO2, напряжение 12V DC, опция: тест-кнопка+светодиод+защитный диод</t>
  </si>
  <si>
    <t>IR-220DC-W2CO-D</t>
  </si>
  <si>
    <t>Реле миниатюрное промышленное общего назначения c норм. срабатыванием 0,6UN, 2CO, ком. ток 12А, AgSnO2, напряжение 220V DC, опция: тест-кнопка+светодиод+защитный диод</t>
  </si>
  <si>
    <t>IR-12AC-W2CO</t>
  </si>
  <si>
    <t>Реле миниатюрное промышленное общего назначения, 2CO, ком. ток 10А, AgSnO2, напряжение 12V AC, опция: светодиод</t>
  </si>
  <si>
    <t>IR-12AC-W2CO-D</t>
  </si>
  <si>
    <t>Реле миниатюрное промышленное общего назначения, 2CO, ком. ток 12А, AgSnO2, напряжение 12V AC, опция: тест-кнопка+светодиод</t>
  </si>
  <si>
    <t>IR-24AC-W2CO</t>
  </si>
  <si>
    <t>Реле миниатюрное промышленное общего назначения, 2CO, ком. ток 10А, AgSnO2, напряжение 24V AC, опция: светодиод</t>
  </si>
  <si>
    <t>IR-24AC-W2CO-D</t>
  </si>
  <si>
    <t>Реле миниатюрное промышленное общего назначения, 2CO, ком. ток 12А, AgSnO2, напряжение 24V AC, опция: тест-кнопка+светодиод</t>
  </si>
  <si>
    <t>IR-110AC-W2CO</t>
  </si>
  <si>
    <t>Реле миниатюрное промышленное общего назначения, 2CO, ком. ток 10А, AgSnO2, напряжение 110V AC, опция: светодиод</t>
  </si>
  <si>
    <t>IR-115AC-W2CO-D</t>
  </si>
  <si>
    <t>Реле миниатюрное промышленное общего назначения, 2CO, ком. ток 12А, AgSnO2, напряжение 115V AC, опция: тест-кнопка+светодиод</t>
  </si>
  <si>
    <t>IR-230AC-W2CO</t>
  </si>
  <si>
    <t>Реле миниатюрное промышленное общего назначения, 2CO, ком. ток 10А, AgSnO2, напряжение 230V AC, опция: светодиод</t>
  </si>
  <si>
    <t>IR-12DC-3CO-D</t>
  </si>
  <si>
    <t>Реле миниатюрное силовое, 3CO, ком. ток 16А, AgSnO2, напряжение 12V DC, опция: тест-кнопка+светодиод+защитный диод</t>
  </si>
  <si>
    <t>IR-220DC-3CO-D</t>
  </si>
  <si>
    <t>Реле миниатюрное силовое, 3CO, ком. ток 16А, AgSnO2, напряжение 220V DC, опция: тест-кнопка+светодиод+защитный диод</t>
  </si>
  <si>
    <t>IR-12AC-3CO-D</t>
  </si>
  <si>
    <t>Реле миниатюрное силовое, 3CO, ком. ток 16А, AgSnO2, напряжение 12V AC, опция: тест-кнопка+светодиод</t>
  </si>
  <si>
    <t>IR-115AC-3CO-D</t>
  </si>
  <si>
    <t>Реле миниатюрное силовое, 3CO, ком. ток 16А, AgSnO2, напряжение 115V AC, опция: тест-кнопка+светодиод</t>
  </si>
  <si>
    <t>IR-AB</t>
  </si>
  <si>
    <t>8-полюсный шинный соединитель для колодок IR-B1/B2-SC/PT и IRM-B-SC/PT-  1/2, черный цвет</t>
  </si>
  <si>
    <t>IRM-RB-1</t>
  </si>
  <si>
    <t>Пластиковый фиксатор в колодку для реле серии IRM</t>
  </si>
  <si>
    <t>IR-BB</t>
  </si>
  <si>
    <t>2-полюсный шинный соединитель для колодок с клеммами push-in IR-  B1/B2/B4-PT и IRM-B-PT, черный цвет</t>
  </si>
  <si>
    <t>IR-RB-1MT</t>
  </si>
  <si>
    <t>Металлический фиксатор для реле серии IR на 1 и 2 контактные группы с тест-кнопкой, установка в  колодоки IR-B1/B2-SC/PT</t>
  </si>
  <si>
    <t>IR-RB-2</t>
  </si>
  <si>
    <t>Пластиковый фиксатор для колодок IR-B4-SC/PT</t>
  </si>
  <si>
    <t>IR-RB-3</t>
  </si>
  <si>
    <t>Металлический фиксатор для колодки IR-RB-3</t>
  </si>
  <si>
    <t>IR-SK</t>
  </si>
  <si>
    <t>8-полюсный шинный соединитель для колодок IR-B1/B2-SK, черный цвет</t>
  </si>
  <si>
    <t>IR-RB-1</t>
  </si>
  <si>
    <t>Пластиковый фиксатор для колодок IR-B1/B2-SC/PT</t>
  </si>
  <si>
    <t>IR-RB-1M</t>
  </si>
  <si>
    <t>Металлический фиксатор для реле серии IR на 1 и 2 контактные группы без тест-кнопки, установка в  колодоки IR-B1/B2-SC/PT</t>
  </si>
  <si>
    <t>IR-RB-2M</t>
  </si>
  <si>
    <t>Металлический фиксатор для колодок IR-B4/B2W</t>
  </si>
  <si>
    <t>IR-MP-1</t>
  </si>
  <si>
    <t>Шильдик маркировочный для колодок IR-B1/B2-SC/PT</t>
  </si>
  <si>
    <t>IR-MP-2</t>
  </si>
  <si>
    <t>Шильдик маркировочный для колодок IR-B4-SC/PT</t>
  </si>
  <si>
    <t>IMD-D</t>
  </si>
  <si>
    <t>Модуль защиты, диод (A1+), 6-250V DC</t>
  </si>
  <si>
    <t>IMD-L1G</t>
  </si>
  <si>
    <t>Модуль индикации, LED зеленый, 6-24V AC/DC</t>
  </si>
  <si>
    <t>IMD-L3G</t>
  </si>
  <si>
    <t>Модуль индикации, LED зеленый, 110-240V AC/DC</t>
  </si>
  <si>
    <t>IMD-LD1G</t>
  </si>
  <si>
    <t>Модуль индикации и защиты, LED зеленый+диод (A1+), 6-24V DC</t>
  </si>
  <si>
    <t>IMD-LD3G</t>
  </si>
  <si>
    <t>Модуль индикации и защиты, LED зеленый+диод (A1+), 110-240V DC</t>
  </si>
  <si>
    <t>IMD-LDD1G</t>
  </si>
  <si>
    <t>Модуль индикации и защиты, LED зеленый+диод, 6-24V DC</t>
  </si>
  <si>
    <t>IMD-LDD3G</t>
  </si>
  <si>
    <t>Модуль индикации и защиты, LED зеленый+диод, 110-240V DC</t>
  </si>
  <si>
    <t>IMD-LV1G</t>
  </si>
  <si>
    <t>Модуль индикации и защиты, LED зеленый+Варистор (A1+), 24V AC/DC</t>
  </si>
  <si>
    <t>IMD-LV3G</t>
  </si>
  <si>
    <t>Модуль индикации и защиты, LED зеленый+Варистор (A1+), 120V AC/DC</t>
  </si>
  <si>
    <t>IMD-LV4G</t>
  </si>
  <si>
    <t>Модуль индикации и защиты, LED зеленый+Варистор (A1+), 240V AC/DC</t>
  </si>
  <si>
    <t>IMD-RC1</t>
  </si>
  <si>
    <t>Модуль индикации и защиты, RC-цепочка, 6-24V AC/DC</t>
  </si>
  <si>
    <t>IMD-RC2</t>
  </si>
  <si>
    <t>Модуль индикации и защиты, RC-цепочка, 24-60V AC/DC</t>
  </si>
  <si>
    <t>IMD-RC3</t>
  </si>
  <si>
    <t>Модуль индикации и защиты, RC-цепочка, 110-240V AC/DC</t>
  </si>
  <si>
    <t>IMD-V1</t>
  </si>
  <si>
    <t>Модуль защиты, варистор, 24V AC/DC</t>
  </si>
  <si>
    <t>IMD-V3</t>
  </si>
  <si>
    <t>Модуль защиты, варистор, 120V AC/DC</t>
  </si>
  <si>
    <t>IMD-V4</t>
  </si>
  <si>
    <t>Модуль защиты, варистор, 240V AC/DC</t>
  </si>
  <si>
    <t>BIMD-L1G</t>
  </si>
  <si>
    <t>Модуль индикации, LED зелёный, 6-24V AC/DC</t>
  </si>
  <si>
    <t>BIMD-L3G</t>
  </si>
  <si>
    <t>Модуль индикации, LED зелёный, 110-240V AC/DC</t>
  </si>
  <si>
    <t>BIMD-LV1G</t>
  </si>
  <si>
    <t>Модуль индикации и защиты, LED зелёный+Варистор (A1+), 24V AC/DC</t>
  </si>
  <si>
    <t>BIMD-LV3G</t>
  </si>
  <si>
    <t>Модуль индикации и защиты, LED зелёный+Варистор (A1+), 120V AC/DC</t>
  </si>
  <si>
    <t>BIMD-LV4G</t>
  </si>
  <si>
    <t>Модуль индикации и защиты, LED зелёный+Варистор (A1+), 240V AC/DC</t>
  </si>
  <si>
    <t>BIMD-RC1</t>
  </si>
  <si>
    <t>BIMD-RC2</t>
  </si>
  <si>
    <t>BIMD-RC3</t>
  </si>
  <si>
    <t>BIMD-V1</t>
  </si>
  <si>
    <t>BIMD-V3</t>
  </si>
  <si>
    <t>BIMD-V4</t>
  </si>
  <si>
    <t>Артикул</t>
  </si>
  <si>
    <t>Наименование</t>
  </si>
  <si>
    <t>Тип напряжения управления</t>
  </si>
  <si>
    <t>Напряжение катушки управления</t>
  </si>
  <si>
    <t>Тип контактов</t>
  </si>
  <si>
    <t>Тип зажима колодки</t>
  </si>
  <si>
    <t>Маркировочный шильдик</t>
  </si>
  <si>
    <t>AC/DC</t>
  </si>
  <si>
    <t>DC</t>
  </si>
  <si>
    <t>AC</t>
  </si>
  <si>
    <t>Номинальный ток</t>
  </si>
  <si>
    <t>1CO</t>
  </si>
  <si>
    <t>2CO</t>
  </si>
  <si>
    <t>4CO</t>
  </si>
  <si>
    <t>3CO</t>
  </si>
  <si>
    <t xml:space="preserve">Винтовой </t>
  </si>
  <si>
    <t>Push-in</t>
  </si>
  <si>
    <t>Шинный соединитель</t>
  </si>
  <si>
    <t>IRK-AB-01
IRK-AB-02
IRK-AB-03
IRK-AB-04</t>
  </si>
  <si>
    <t>Эта колодка идет со встроенным пластиковым фиксатором</t>
  </si>
  <si>
    <t>Тип фиксатора (Пластик либо металл)</t>
  </si>
  <si>
    <t>Не применяется</t>
  </si>
  <si>
    <t>Шинные соединители</t>
  </si>
  <si>
    <t>Фиксаторы и маркировка</t>
  </si>
  <si>
    <t>пластик</t>
  </si>
  <si>
    <t>металл</t>
  </si>
  <si>
    <t>Модуль индикации и защиты (устанавливается по желанию)</t>
  </si>
  <si>
    <t>Тип модуля</t>
  </si>
  <si>
    <t>диод</t>
  </si>
  <si>
    <t>светодиод</t>
  </si>
  <si>
    <t>RC-цепочка</t>
  </si>
  <si>
    <t>варистор</t>
  </si>
  <si>
    <t>светодиод+диод</t>
  </si>
  <si>
    <t>светодиод+варистор</t>
  </si>
  <si>
    <t>Напряжение питания</t>
  </si>
  <si>
    <t>6...24</t>
  </si>
  <si>
    <t>6...250</t>
  </si>
  <si>
    <t>110…240</t>
  </si>
  <si>
    <t>24…60</t>
  </si>
  <si>
    <t>светодиод+диод (A1+)</t>
  </si>
  <si>
    <t>Спецификация</t>
  </si>
  <si>
    <t>Содержимое заголовка</t>
  </si>
  <si>
    <t>Выбор параметров</t>
  </si>
  <si>
    <t>№ позиции</t>
  </si>
  <si>
    <t>Количество</t>
  </si>
  <si>
    <t>2. Напряжение катушки управления</t>
  </si>
  <si>
    <t>4. Номинальный ток</t>
  </si>
  <si>
    <t>Реле</t>
  </si>
  <si>
    <t>Колодка и аксессуары</t>
  </si>
  <si>
    <t>1. Тип зажима колодки</t>
  </si>
  <si>
    <t>2. Материал фиксатора</t>
  </si>
  <si>
    <t>Не применять данный перечень</t>
  </si>
  <si>
    <t>Колодки</t>
  </si>
  <si>
    <t>3. Наличие маркировочного шильдика</t>
  </si>
  <si>
    <t>4. Наличие шинного соединителя</t>
  </si>
  <si>
    <t>5. Наличие модуля индикации и защиты</t>
  </si>
  <si>
    <t>6. Тип модуля индикации и защиты</t>
  </si>
  <si>
    <t>Интерфейсные реле в сборе</t>
  </si>
  <si>
    <t>Колодка</t>
  </si>
  <si>
    <t>IRK-6UC-1CO</t>
  </si>
  <si>
    <t>RIS-6DC-1CO</t>
  </si>
  <si>
    <t>IRK-6UC-1CO-PT</t>
  </si>
  <si>
    <t>IRK-48UC-1CO</t>
  </si>
  <si>
    <t>IRK-48UC-1CO-PT</t>
  </si>
  <si>
    <t xml:space="preserve">Есть одно предложение по спецификации, однако только если такое возможно. 
Есть интерфейсные реле серии IRK, это готовый составной продукт, который состоит из реле и колодки, возможно уже с маркировкой в комплекте (мне сказали что должны начать поставлять такие). 
Если реле испортится, на этот случай есть запасные части, как самой колодки, так и реле. В нашем каталоге есть таблица составных частей. М.б. стоит внедрить ее тоже, в случае подбора данных реле.
 Если выбирается реле из перечня ниже, то будет выдаваться примечание к спецификации, что данное реле можно собрать и по отдельности, ну или что вот запасные части. </t>
  </si>
  <si>
    <t>Конфигуратор электромеханических реле Mitra</t>
  </si>
  <si>
    <t>Материал фиксатора</t>
  </si>
  <si>
    <t>Пластик</t>
  </si>
  <si>
    <t>Металл</t>
  </si>
  <si>
    <t>Встроенный пластиковый фиксатор</t>
  </si>
  <si>
    <t xml:space="preserve">Модуль индикации и защиты </t>
  </si>
  <si>
    <t>Индекс</t>
  </si>
  <si>
    <t>Да</t>
  </si>
  <si>
    <t>Нет</t>
  </si>
  <si>
    <t>Фиксатор</t>
  </si>
  <si>
    <t>Опция</t>
  </si>
  <si>
    <t>тест-кнопка+светодиод+защитный диод</t>
  </si>
  <si>
    <t>тест-кнопка+светодиод</t>
  </si>
  <si>
    <t>Формула</t>
  </si>
  <si>
    <t>Серия</t>
  </si>
  <si>
    <t>IR-W2CO</t>
  </si>
  <si>
    <t>Артикул колодки</t>
  </si>
  <si>
    <t>МеталлКнопка тест</t>
  </si>
  <si>
    <t>Наименование колодки</t>
  </si>
  <si>
    <t>IR-B1</t>
  </si>
  <si>
    <t>IRM-B</t>
  </si>
  <si>
    <t>IR-B2</t>
  </si>
  <si>
    <t>IR-B4</t>
  </si>
  <si>
    <t>IR-B3</t>
  </si>
  <si>
    <t>Серия реле</t>
  </si>
  <si>
    <t>5. Наличие тест-кнопки</t>
  </si>
  <si>
    <t>Тест-кнопка</t>
  </si>
  <si>
    <t>Наличие тест-кнопки</t>
  </si>
  <si>
    <t>МеталлТест-кнопка</t>
  </si>
  <si>
    <t>Металл2</t>
  </si>
  <si>
    <t>Пластик2</t>
  </si>
  <si>
    <t>Нет2</t>
  </si>
  <si>
    <t>Винтовой</t>
  </si>
  <si>
    <t>Реле миниатюрное ультратонкое, 1CO, ком. ток 6А, AgSnO2, напряжение 6V DC</t>
  </si>
  <si>
    <t>Граница напряжения</t>
  </si>
  <si>
    <t>Подходит ли напряжение под границу</t>
  </si>
  <si>
    <t>Модуль</t>
  </si>
  <si>
    <t>1. Тип напряжения управления</t>
  </si>
  <si>
    <t>3. Тип контактов</t>
  </si>
  <si>
    <t>Маркировка</t>
  </si>
  <si>
    <t>Спецификация 1</t>
  </si>
  <si>
    <t/>
  </si>
  <si>
    <r>
      <t xml:space="preserve">Данный конфигуратор предназначен для подбора компонентов, необходимых для комплектации электромеханических "Mitra".
</t>
    </r>
    <r>
      <rPr>
        <u/>
        <sz val="11"/>
        <color indexed="8"/>
        <rFont val="Segoe UI Light"/>
        <family val="2"/>
        <charset val="204"/>
      </rPr>
      <t>Инструкция:</t>
    </r>
    <r>
      <rPr>
        <sz val="11"/>
        <color indexed="8"/>
        <rFont val="Segoe UI Light"/>
        <family val="2"/>
        <charset val="204"/>
      </rPr>
      <t xml:space="preserve">
1. Выберите параметры устройства, который вы хотите собрать;
2. Выберите его характеристики.</t>
    </r>
  </si>
  <si>
    <t>Аксессуары к реле</t>
  </si>
  <si>
    <t>ПластикНет</t>
  </si>
  <si>
    <r>
      <rPr>
        <u/>
        <sz val="11"/>
        <color theme="1"/>
        <rFont val="Segoe UI Light"/>
        <family val="2"/>
        <charset val="204"/>
      </rPr>
      <t xml:space="preserve">Результат:
</t>
    </r>
    <r>
      <rPr>
        <sz val="11"/>
        <color theme="1"/>
        <rFont val="Segoe UI Light"/>
        <family val="2"/>
        <charset val="204"/>
      </rPr>
      <t>В разделе "</t>
    </r>
    <r>
      <rPr>
        <b/>
        <sz val="11"/>
        <color theme="1"/>
        <rFont val="Segoe UI Light"/>
        <family val="2"/>
        <charset val="204"/>
      </rPr>
      <t>Спецификация"</t>
    </r>
    <r>
      <rPr>
        <sz val="11"/>
        <color theme="1"/>
        <rFont val="Segoe UI Light"/>
        <family val="2"/>
        <charset val="204"/>
      </rPr>
      <t xml:space="preserve"> указаны комплектующие, необходимые для сборки реле, колодки и аксессуаров к нему. Аксессуары реле выделенные цветом, это альтернативный набор комплекту первой колодки. </t>
    </r>
    <r>
      <rPr>
        <sz val="12"/>
        <color theme="1"/>
        <rFont val="Segoe UI Light"/>
        <family val="2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</si>
</sst>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Segoe UI Light"/>
      <family val="2"/>
      <charset val="204"/>
    </font>
    <font>
      <b/>
      <i/>
      <sz val="11"/>
      <name val="Arial Cyr"/>
      <family val="1"/>
      <charset val="204"/>
    </font>
    <font>
      <b/>
      <i/>
      <sz val="12"/>
      <name val="Arial Cyr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rgb="FF000000"/>
      <name val="Arial"/>
      <family val="2"/>
      <charset val="204"/>
    </font>
    <font>
      <sz val="11"/>
      <color theme="1"/>
      <name val="Segoe UI Light"/>
      <family val="2"/>
      <charset val="204"/>
    </font>
    <font>
      <sz val="11"/>
      <name val="Segoe UI Light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Segoe UI Light"/>
      <family val="2"/>
      <charset val="204"/>
    </font>
    <font>
      <sz val="11"/>
      <color indexed="8"/>
      <name val="Segoe UI Light"/>
      <family val="2"/>
      <charset val="204"/>
    </font>
    <font>
      <u/>
      <sz val="11"/>
      <color indexed="8"/>
      <name val="Segoe UI Light"/>
      <family val="2"/>
      <charset val="204"/>
    </font>
    <font>
      <u/>
      <sz val="11"/>
      <color theme="1"/>
      <name val="Segoe UI Light"/>
      <family val="2"/>
      <charset val="204"/>
    </font>
    <font>
      <b/>
      <sz val="11"/>
      <color theme="1"/>
      <name val="Segoe UI Light"/>
      <family val="2"/>
      <charset val="204"/>
    </font>
    <font>
      <sz val="11"/>
      <color rgb="FFFF0000"/>
      <name val="Segoe UI Light"/>
      <family val="2"/>
      <charset val="204"/>
    </font>
    <font>
      <sz val="12"/>
      <color theme="1"/>
      <name val="Segoe UI Light"/>
      <family val="2"/>
      <charset val="204"/>
    </font>
    <font>
      <sz val="10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DCDCD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/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3" tint="0.39994506668294322"/>
      </left>
      <right style="medium">
        <color indexed="64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215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1" fillId="2" borderId="2" xfId="0" applyNumberFormat="1" applyFont="1" applyFill="1" applyBorder="1" applyAlignment="1" applyProtection="1">
      <alignment horizontal="left" vertic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2" fillId="4" borderId="2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5" borderId="1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1" xfId="0" applyFill="1" applyBorder="1"/>
    <xf numFmtId="0" fontId="0" fillId="7" borderId="1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10" borderId="1" xfId="0" applyFill="1" applyBorder="1" applyAlignment="1">
      <alignment horizontal="left"/>
    </xf>
    <xf numFmtId="0" fontId="0" fillId="11" borderId="1" xfId="0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/>
    <xf numFmtId="17" fontId="0" fillId="0" borderId="1" xfId="0" applyNumberFormat="1" applyBorder="1" applyAlignment="1">
      <alignment horizontal="center" vertical="center"/>
    </xf>
    <xf numFmtId="0" fontId="6" fillId="0" borderId="17" xfId="1" applyBorder="1"/>
    <xf numFmtId="0" fontId="6" fillId="0" borderId="18" xfId="1" applyBorder="1"/>
    <xf numFmtId="0" fontId="6" fillId="0" borderId="17" xfId="1" applyBorder="1" applyAlignment="1">
      <alignment horizontal="center" vertical="center" wrapText="1"/>
    </xf>
    <xf numFmtId="0" fontId="6" fillId="0" borderId="19" xfId="1" applyBorder="1"/>
    <xf numFmtId="0" fontId="6" fillId="0" borderId="20" xfId="1" applyBorder="1"/>
    <xf numFmtId="0" fontId="6" fillId="0" borderId="21" xfId="1" applyBorder="1"/>
    <xf numFmtId="0" fontId="7" fillId="0" borderId="21" xfId="1" applyFont="1" applyBorder="1" applyProtection="1">
      <protection hidden="1"/>
    </xf>
    <xf numFmtId="0" fontId="9" fillId="0" borderId="19" xfId="2" applyFont="1" applyBorder="1" applyAlignment="1" applyProtection="1">
      <alignment horizontal="center" vertical="center"/>
      <protection hidden="1"/>
    </xf>
    <xf numFmtId="0" fontId="10" fillId="0" borderId="19" xfId="2" applyFont="1" applyBorder="1" applyAlignment="1" applyProtection="1">
      <alignment horizontal="left" vertical="top" wrapText="1"/>
      <protection hidden="1"/>
    </xf>
    <xf numFmtId="0" fontId="6" fillId="0" borderId="32" xfId="1" applyBorder="1"/>
    <xf numFmtId="0" fontId="6" fillId="0" borderId="44" xfId="1" applyBorder="1"/>
    <xf numFmtId="0" fontId="6" fillId="0" borderId="32" xfId="1" applyBorder="1" applyAlignment="1">
      <alignment horizontal="center" vertical="center" wrapText="1"/>
    </xf>
    <xf numFmtId="0" fontId="6" fillId="0" borderId="45" xfId="1" applyBorder="1"/>
    <xf numFmtId="0" fontId="6" fillId="0" borderId="21" xfId="1" applyBorder="1" applyAlignment="1">
      <alignment vertical="top" wrapText="1"/>
    </xf>
    <xf numFmtId="0" fontId="10" fillId="0" borderId="21" xfId="2" applyFont="1" applyBorder="1" applyProtection="1">
      <protection locked="0"/>
    </xf>
    <xf numFmtId="0" fontId="6" fillId="0" borderId="46" xfId="1" applyBorder="1"/>
    <xf numFmtId="0" fontId="6" fillId="0" borderId="21" xfId="1" applyBorder="1" applyAlignment="1">
      <alignment horizontal="center" vertical="center" wrapText="1"/>
    </xf>
    <xf numFmtId="0" fontId="10" fillId="0" borderId="46" xfId="2" applyFont="1" applyBorder="1" applyProtection="1">
      <protection locked="0"/>
    </xf>
    <xf numFmtId="0" fontId="10" fillId="0" borderId="21" xfId="2" applyFont="1" applyBorder="1" applyAlignment="1" applyProtection="1">
      <alignment horizontal="center" vertical="center" wrapText="1"/>
      <protection locked="0"/>
    </xf>
    <xf numFmtId="0" fontId="10" fillId="0" borderId="19" xfId="2" applyFont="1" applyBorder="1" applyProtection="1">
      <protection locked="0"/>
    </xf>
    <xf numFmtId="0" fontId="10" fillId="0" borderId="17" xfId="2" applyFont="1" applyBorder="1" applyProtection="1">
      <protection locked="0"/>
    </xf>
    <xf numFmtId="0" fontId="10" fillId="0" borderId="18" xfId="2" applyFont="1" applyBorder="1" applyProtection="1">
      <protection locked="0"/>
    </xf>
    <xf numFmtId="0" fontId="10" fillId="0" borderId="47" xfId="2" applyFont="1" applyBorder="1" applyProtection="1">
      <protection locked="0"/>
    </xf>
    <xf numFmtId="0" fontId="6" fillId="0" borderId="3" xfId="1" applyBorder="1" applyAlignment="1" applyProtection="1">
      <alignment horizontal="center" vertical="center" wrapText="1"/>
      <protection hidden="1"/>
    </xf>
    <xf numFmtId="0" fontId="6" fillId="0" borderId="3" xfId="1" applyBorder="1" applyAlignment="1" applyProtection="1">
      <alignment horizontal="center" vertical="center"/>
      <protection hidden="1"/>
    </xf>
    <xf numFmtId="0" fontId="10" fillId="0" borderId="19" xfId="2" applyFont="1" applyBorder="1" applyAlignment="1" applyProtection="1">
      <alignment horizontal="center" vertical="center" wrapText="1"/>
      <protection locked="0"/>
    </xf>
    <xf numFmtId="0" fontId="10" fillId="0" borderId="19" xfId="2" applyFont="1" applyBorder="1" applyAlignment="1" applyProtection="1">
      <alignment horizontal="center" vertical="center"/>
      <protection locked="0"/>
    </xf>
    <xf numFmtId="0" fontId="10" fillId="0" borderId="48" xfId="2" applyFont="1" applyBorder="1" applyAlignment="1" applyProtection="1">
      <alignment horizontal="center"/>
      <protection locked="0"/>
    </xf>
    <xf numFmtId="0" fontId="10" fillId="0" borderId="49" xfId="2" applyFont="1" applyBorder="1" applyAlignment="1" applyProtection="1">
      <alignment horizontal="center"/>
      <protection locked="0"/>
    </xf>
    <xf numFmtId="0" fontId="9" fillId="0" borderId="50" xfId="2" applyFont="1" applyBorder="1" applyAlignment="1" applyProtection="1">
      <alignment horizontal="center" vertical="center"/>
      <protection locked="0"/>
    </xf>
    <xf numFmtId="0" fontId="9" fillId="0" borderId="19" xfId="2" applyFont="1" applyBorder="1" applyAlignment="1" applyProtection="1">
      <alignment horizontal="center" vertical="center" wrapText="1"/>
      <protection hidden="1"/>
    </xf>
    <xf numFmtId="0" fontId="10" fillId="0" borderId="36" xfId="2" applyFont="1" applyBorder="1" applyAlignment="1" applyProtection="1">
      <alignment horizontal="center" vertical="center"/>
      <protection locked="0"/>
    </xf>
    <xf numFmtId="0" fontId="10" fillId="0" borderId="52" xfId="2" applyFont="1" applyBorder="1" applyAlignment="1" applyProtection="1">
      <alignment horizontal="center" vertical="center"/>
      <protection locked="0"/>
    </xf>
    <xf numFmtId="0" fontId="10" fillId="0" borderId="19" xfId="2" applyFont="1" applyBorder="1" applyAlignment="1" applyProtection="1">
      <alignment horizontal="center" vertical="center" wrapText="1"/>
      <protection hidden="1"/>
    </xf>
    <xf numFmtId="0" fontId="10" fillId="0" borderId="19" xfId="2" applyFont="1" applyBorder="1" applyAlignment="1" applyProtection="1">
      <alignment horizontal="center" vertical="center"/>
      <protection hidden="1"/>
    </xf>
    <xf numFmtId="0" fontId="10" fillId="0" borderId="51" xfId="2" applyFont="1" applyBorder="1" applyAlignment="1" applyProtection="1">
      <alignment horizontal="center" vertical="center"/>
      <protection locked="0" hidden="1"/>
    </xf>
    <xf numFmtId="0" fontId="10" fillId="0" borderId="52" xfId="2" applyFont="1" applyBorder="1" applyAlignment="1" applyProtection="1">
      <alignment horizontal="center" vertical="center"/>
      <protection locked="0" hidden="1"/>
    </xf>
    <xf numFmtId="0" fontId="9" fillId="0" borderId="36" xfId="2" applyFont="1" applyBorder="1" applyAlignment="1" applyProtection="1">
      <alignment horizontal="center" vertical="center"/>
      <protection locked="0"/>
    </xf>
    <xf numFmtId="0" fontId="13" fillId="0" borderId="50" xfId="1" applyFont="1" applyBorder="1" applyAlignment="1">
      <alignment horizontal="center" vertical="center"/>
    </xf>
    <xf numFmtId="0" fontId="6" fillId="0" borderId="36" xfId="1" applyBorder="1" applyAlignment="1">
      <alignment horizontal="center" vertical="center"/>
    </xf>
    <xf numFmtId="0" fontId="10" fillId="0" borderId="52" xfId="2" applyFont="1" applyFill="1" applyBorder="1" applyAlignment="1" applyProtection="1">
      <alignment horizontal="center" vertical="center"/>
      <protection locked="0" hidden="1"/>
    </xf>
    <xf numFmtId="0" fontId="10" fillId="0" borderId="41" xfId="2" applyFont="1" applyBorder="1" applyAlignment="1" applyProtection="1">
      <alignment horizontal="center" vertical="center"/>
      <protection locked="0"/>
    </xf>
    <xf numFmtId="0" fontId="10" fillId="0" borderId="53" xfId="2" applyFont="1" applyBorder="1" applyAlignment="1" applyProtection="1">
      <alignment horizontal="center" vertical="center"/>
      <protection locked="0"/>
    </xf>
    <xf numFmtId="0" fontId="6" fillId="0" borderId="21" xfId="1" applyBorder="1" applyAlignment="1" applyProtection="1">
      <alignment vertical="center" wrapText="1"/>
      <protection hidden="1"/>
    </xf>
    <xf numFmtId="0" fontId="6" fillId="0" borderId="21" xfId="1" applyBorder="1" applyAlignment="1" applyProtection="1">
      <alignment horizontal="center" vertical="center" wrapText="1"/>
      <protection hidden="1"/>
    </xf>
    <xf numFmtId="0" fontId="6" fillId="0" borderId="21" xfId="1" applyBorder="1" applyAlignment="1" applyProtection="1">
      <alignment horizontal="center" vertical="center"/>
      <protection hidden="1"/>
    </xf>
    <xf numFmtId="0" fontId="6" fillId="0" borderId="21" xfId="1" applyFill="1" applyBorder="1" applyAlignment="1" applyProtection="1">
      <alignment horizontal="center" vertical="center"/>
      <protection hidden="1"/>
    </xf>
    <xf numFmtId="0" fontId="6" fillId="0" borderId="21" xfId="1" applyBorder="1" applyAlignment="1" applyProtection="1">
      <alignment vertical="center"/>
      <protection hidden="1"/>
    </xf>
    <xf numFmtId="0" fontId="0" fillId="13" borderId="4" xfId="0" applyFill="1" applyBorder="1" applyAlignment="1">
      <alignment horizontal="left"/>
    </xf>
    <xf numFmtId="0" fontId="0" fillId="14" borderId="3" xfId="0" applyFill="1" applyBorder="1"/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58" xfId="0" applyBorder="1" applyAlignment="1" applyProtection="1">
      <alignment horizontal="left" vertical="center" wrapText="1"/>
      <protection hidden="1"/>
    </xf>
    <xf numFmtId="0" fontId="0" fillId="0" borderId="58" xfId="0" applyBorder="1" applyAlignment="1" applyProtection="1">
      <alignment horizontal="left" vertical="center"/>
      <protection hidden="1"/>
    </xf>
    <xf numFmtId="0" fontId="0" fillId="0" borderId="46" xfId="0" applyBorder="1" applyAlignment="1" applyProtection="1">
      <alignment vertical="top" wrapText="1"/>
      <protection hidden="1"/>
    </xf>
    <xf numFmtId="0" fontId="0" fillId="0" borderId="46" xfId="0" applyBorder="1" applyProtection="1">
      <protection hidden="1"/>
    </xf>
    <xf numFmtId="0" fontId="0" fillId="15" borderId="3" xfId="0" applyFill="1" applyBorder="1" applyAlignment="1" applyProtection="1">
      <alignment horizontal="left" vertical="center"/>
      <protection hidden="1"/>
    </xf>
    <xf numFmtId="0" fontId="0" fillId="15" borderId="3" xfId="0" applyFill="1" applyBorder="1" applyAlignment="1" applyProtection="1">
      <alignment horizontal="center" vertical="center"/>
      <protection hidden="1"/>
    </xf>
    <xf numFmtId="0" fontId="0" fillId="15" borderId="17" xfId="0" applyFill="1" applyBorder="1" applyAlignment="1">
      <alignment horizontal="center"/>
    </xf>
    <xf numFmtId="0" fontId="0" fillId="15" borderId="17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5" borderId="9" xfId="0" applyFill="1" applyBorder="1"/>
    <xf numFmtId="0" fontId="0" fillId="8" borderId="9" xfId="0" applyFill="1" applyBorder="1" applyAlignment="1">
      <alignment horizontal="left"/>
    </xf>
    <xf numFmtId="0" fontId="0" fillId="7" borderId="9" xfId="0" applyFill="1" applyBorder="1" applyAlignment="1">
      <alignment horizontal="left"/>
    </xf>
    <xf numFmtId="0" fontId="0" fillId="9" borderId="9" xfId="0" applyFill="1" applyBorder="1" applyAlignment="1">
      <alignment horizontal="left"/>
    </xf>
    <xf numFmtId="0" fontId="0" fillId="10" borderId="9" xfId="0" applyFill="1" applyBorder="1" applyAlignment="1">
      <alignment horizontal="left"/>
    </xf>
    <xf numFmtId="0" fontId="0" fillId="12" borderId="9" xfId="0" applyFill="1" applyBorder="1" applyAlignment="1">
      <alignment horizontal="left"/>
    </xf>
    <xf numFmtId="0" fontId="0" fillId="11" borderId="9" xfId="0" applyFill="1" applyBorder="1" applyAlignment="1">
      <alignment horizontal="left"/>
    </xf>
    <xf numFmtId="0" fontId="0" fillId="0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59" xfId="0" applyBorder="1" applyAlignment="1">
      <alignment vertical="center" wrapText="1"/>
    </xf>
    <xf numFmtId="0" fontId="0" fillId="0" borderId="56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8" borderId="4" xfId="0" applyFill="1" applyBorder="1" applyAlignment="1">
      <alignment horizontal="left"/>
    </xf>
    <xf numFmtId="0" fontId="0" fillId="0" borderId="3" xfId="0" applyBorder="1" applyAlignment="1">
      <alignment vertical="center" wrapText="1"/>
    </xf>
    <xf numFmtId="0" fontId="0" fillId="0" borderId="1" xfId="0" applyBorder="1" applyAlignment="1"/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0" fillId="0" borderId="0" xfId="2" applyFont="1" applyBorder="1" applyAlignment="1" applyProtection="1">
      <alignment horizontal="center" vertical="center"/>
      <protection locked="0" hidden="1"/>
    </xf>
    <xf numFmtId="0" fontId="0" fillId="0" borderId="52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0" xfId="0" applyBorder="1" applyAlignment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4" fillId="13" borderId="19" xfId="1" applyFont="1" applyFill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17" fontId="0" fillId="0" borderId="9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0" borderId="3" xfId="0" applyNumberFormat="1" applyFill="1" applyBorder="1" applyAlignment="1">
      <alignment horizontal="center" vertical="center"/>
    </xf>
    <xf numFmtId="0" fontId="16" fillId="0" borderId="17" xfId="1" applyFont="1" applyBorder="1"/>
    <xf numFmtId="0" fontId="16" fillId="0" borderId="32" xfId="1" applyFont="1" applyBorder="1"/>
    <xf numFmtId="0" fontId="16" fillId="0" borderId="21" xfId="1" applyFont="1" applyBorder="1"/>
    <xf numFmtId="0" fontId="15" fillId="0" borderId="3" xfId="1" applyFont="1" applyBorder="1" applyAlignment="1" applyProtection="1">
      <alignment horizontal="center" vertical="center"/>
      <protection hidden="1"/>
    </xf>
    <xf numFmtId="0" fontId="6" fillId="15" borderId="55" xfId="1" applyFill="1" applyBorder="1"/>
    <xf numFmtId="0" fontId="6" fillId="15" borderId="54" xfId="1" applyFill="1" applyBorder="1"/>
    <xf numFmtId="0" fontId="0" fillId="18" borderId="3" xfId="0" applyFill="1" applyBorder="1" applyAlignment="1" applyProtection="1">
      <alignment horizontal="center" vertical="center" wrapText="1"/>
      <protection hidden="1"/>
    </xf>
    <xf numFmtId="0" fontId="0" fillId="18" borderId="3" xfId="0" applyFill="1" applyBorder="1" applyAlignment="1" applyProtection="1">
      <alignment horizontal="left" vertical="center"/>
      <protection hidden="1"/>
    </xf>
    <xf numFmtId="0" fontId="6" fillId="18" borderId="3" xfId="0" applyFont="1" applyFill="1" applyBorder="1" applyAlignment="1" applyProtection="1">
      <alignment horizontal="left" vertical="center"/>
      <protection hidden="1"/>
    </xf>
    <xf numFmtId="0" fontId="0" fillId="18" borderId="3" xfId="0" applyFill="1" applyBorder="1" applyAlignment="1" applyProtection="1">
      <alignment horizontal="center" vertical="center"/>
      <protection hidden="1"/>
    </xf>
    <xf numFmtId="0" fontId="0" fillId="19" borderId="3" xfId="0" applyFill="1" applyBorder="1" applyAlignment="1" applyProtection="1">
      <alignment horizontal="center" vertical="center" wrapText="1"/>
      <protection hidden="1"/>
    </xf>
    <xf numFmtId="0" fontId="0" fillId="19" borderId="3" xfId="0" applyFill="1" applyBorder="1" applyAlignment="1" applyProtection="1">
      <alignment horizontal="left" vertical="center"/>
      <protection hidden="1"/>
    </xf>
    <xf numFmtId="0" fontId="6" fillId="19" borderId="3" xfId="0" applyFont="1" applyFill="1" applyBorder="1" applyAlignment="1" applyProtection="1">
      <alignment horizontal="left" vertical="center"/>
      <protection hidden="1"/>
    </xf>
    <xf numFmtId="0" fontId="0" fillId="19" borderId="3" xfId="0" applyFill="1" applyBorder="1" applyAlignment="1" applyProtection="1">
      <alignment horizontal="center" vertical="center"/>
      <protection hidden="1"/>
    </xf>
    <xf numFmtId="0" fontId="0" fillId="17" borderId="1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7" borderId="9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3" xfId="0" applyFont="1" applyFill="1" applyBorder="1" applyAlignment="1" applyProtection="1">
      <alignment vertical="center" wrapText="1"/>
      <protection hidden="1"/>
    </xf>
    <xf numFmtId="0" fontId="17" fillId="15" borderId="55" xfId="0" applyFont="1" applyFill="1" applyBorder="1" applyAlignment="1">
      <alignment horizontal="center" vertical="center"/>
    </xf>
    <xf numFmtId="0" fontId="17" fillId="15" borderId="0" xfId="0" applyFont="1" applyFill="1" applyBorder="1" applyAlignment="1">
      <alignment vertical="center"/>
    </xf>
    <xf numFmtId="0" fontId="17" fillId="15" borderId="0" xfId="0" applyFont="1" applyFill="1" applyBorder="1" applyAlignment="1">
      <alignment horizontal="center" vertical="center"/>
    </xf>
    <xf numFmtId="0" fontId="9" fillId="0" borderId="25" xfId="2" applyFont="1" applyBorder="1" applyAlignment="1" applyProtection="1">
      <alignment horizontal="center"/>
      <protection locked="0"/>
    </xf>
    <xf numFmtId="0" fontId="9" fillId="0" borderId="27" xfId="2" applyFont="1" applyBorder="1" applyAlignment="1" applyProtection="1">
      <alignment horizontal="center"/>
      <protection locked="0"/>
    </xf>
    <xf numFmtId="0" fontId="13" fillId="0" borderId="25" xfId="1" applyFont="1" applyBorder="1" applyAlignment="1">
      <alignment horizontal="center"/>
    </xf>
    <xf numFmtId="0" fontId="13" fillId="0" borderId="27" xfId="1" applyFont="1" applyBorder="1" applyAlignment="1">
      <alignment horizontal="center"/>
    </xf>
    <xf numFmtId="0" fontId="9" fillId="0" borderId="22" xfId="2" applyFont="1" applyBorder="1" applyAlignment="1" applyProtection="1">
      <alignment horizontal="center" vertical="center"/>
      <protection hidden="1"/>
    </xf>
    <xf numFmtId="0" fontId="9" fillId="0" borderId="23" xfId="2" applyFont="1" applyBorder="1" applyAlignment="1" applyProtection="1">
      <alignment horizontal="center" vertical="center"/>
      <protection hidden="1"/>
    </xf>
    <xf numFmtId="0" fontId="9" fillId="0" borderId="24" xfId="2" applyFont="1" applyBorder="1" applyAlignment="1" applyProtection="1">
      <alignment horizontal="center" vertical="center"/>
      <protection hidden="1"/>
    </xf>
    <xf numFmtId="0" fontId="9" fillId="0" borderId="25" xfId="2" applyFont="1" applyBorder="1" applyAlignment="1" applyProtection="1">
      <alignment horizontal="center" vertical="center"/>
      <protection hidden="1"/>
    </xf>
    <xf numFmtId="0" fontId="9" fillId="0" borderId="26" xfId="2" applyFont="1" applyBorder="1" applyAlignment="1" applyProtection="1">
      <alignment horizontal="center" vertical="center"/>
      <protection hidden="1"/>
    </xf>
    <xf numFmtId="0" fontId="9" fillId="0" borderId="27" xfId="2" applyFont="1" applyBorder="1" applyAlignment="1" applyProtection="1">
      <alignment horizontal="center" vertical="center"/>
      <protection hidden="1"/>
    </xf>
    <xf numFmtId="0" fontId="10" fillId="0" borderId="28" xfId="2" applyFont="1" applyBorder="1" applyAlignment="1" applyProtection="1">
      <alignment horizontal="left" vertical="top" wrapText="1"/>
      <protection hidden="1"/>
    </xf>
    <xf numFmtId="0" fontId="10" fillId="0" borderId="29" xfId="2" applyFont="1" applyBorder="1" applyAlignment="1" applyProtection="1">
      <alignment horizontal="left" vertical="top" wrapText="1"/>
      <protection hidden="1"/>
    </xf>
    <xf numFmtId="0" fontId="10" fillId="0" borderId="30" xfId="2" applyFont="1" applyBorder="1" applyAlignment="1" applyProtection="1">
      <alignment horizontal="left" vertical="top" wrapText="1"/>
      <protection hidden="1"/>
    </xf>
    <xf numFmtId="0" fontId="10" fillId="0" borderId="34" xfId="2" applyFont="1" applyBorder="1" applyAlignment="1" applyProtection="1">
      <alignment horizontal="left" vertical="top" wrapText="1"/>
      <protection hidden="1"/>
    </xf>
    <xf numFmtId="0" fontId="10" fillId="0" borderId="0" xfId="2" applyFont="1" applyBorder="1" applyAlignment="1" applyProtection="1">
      <alignment horizontal="left" vertical="top" wrapText="1"/>
      <protection hidden="1"/>
    </xf>
    <xf numFmtId="0" fontId="10" fillId="0" borderId="35" xfId="2" applyFont="1" applyBorder="1" applyAlignment="1" applyProtection="1">
      <alignment horizontal="left" vertical="top" wrapText="1"/>
      <protection hidden="1"/>
    </xf>
    <xf numFmtId="0" fontId="10" fillId="0" borderId="38" xfId="2" applyFont="1" applyBorder="1" applyAlignment="1" applyProtection="1">
      <alignment horizontal="left" vertical="top" wrapText="1"/>
      <protection hidden="1"/>
    </xf>
    <xf numFmtId="0" fontId="10" fillId="0" borderId="39" xfId="2" applyFont="1" applyBorder="1" applyAlignment="1" applyProtection="1">
      <alignment horizontal="left" vertical="top" wrapText="1"/>
      <protection hidden="1"/>
    </xf>
    <xf numFmtId="0" fontId="10" fillId="0" borderId="40" xfId="2" applyFont="1" applyBorder="1" applyAlignment="1" applyProtection="1">
      <alignment horizontal="left" vertical="top" wrapText="1"/>
      <protection hidden="1"/>
    </xf>
    <xf numFmtId="0" fontId="6" fillId="0" borderId="31" xfId="1" applyBorder="1" applyAlignment="1">
      <alignment horizontal="left" vertical="top" wrapText="1"/>
    </xf>
    <xf numFmtId="0" fontId="6" fillId="0" borderId="32" xfId="1" applyBorder="1" applyAlignment="1">
      <alignment horizontal="left" vertical="top" wrapText="1"/>
    </xf>
    <xf numFmtId="0" fontId="6" fillId="0" borderId="33" xfId="1" applyBorder="1" applyAlignment="1">
      <alignment horizontal="left" vertical="top" wrapText="1"/>
    </xf>
    <xf numFmtId="0" fontId="6" fillId="0" borderId="36" xfId="1" applyBorder="1" applyAlignment="1">
      <alignment horizontal="left" vertical="top" wrapText="1"/>
    </xf>
    <xf numFmtId="0" fontId="6" fillId="0" borderId="21" xfId="1" applyBorder="1" applyAlignment="1">
      <alignment horizontal="left" vertical="top" wrapText="1"/>
    </xf>
    <xf numFmtId="0" fontId="6" fillId="0" borderId="37" xfId="1" applyBorder="1" applyAlignment="1">
      <alignment horizontal="left" vertical="top" wrapText="1"/>
    </xf>
    <xf numFmtId="0" fontId="6" fillId="0" borderId="41" xfId="1" applyBorder="1" applyAlignment="1">
      <alignment horizontal="left" vertical="top" wrapText="1"/>
    </xf>
    <xf numFmtId="0" fontId="6" fillId="0" borderId="42" xfId="1" applyBorder="1" applyAlignment="1">
      <alignment horizontal="left" vertical="top" wrapText="1"/>
    </xf>
    <xf numFmtId="0" fontId="6" fillId="0" borderId="43" xfId="1" applyBorder="1" applyAlignment="1">
      <alignment horizontal="left" vertical="top" wrapText="1"/>
    </xf>
    <xf numFmtId="0" fontId="10" fillId="0" borderId="25" xfId="2" applyFont="1" applyBorder="1" applyAlignment="1" applyProtection="1">
      <alignment horizontal="center"/>
      <protection locked="0"/>
    </xf>
    <xf numFmtId="0" fontId="10" fillId="0" borderId="27" xfId="2" applyFont="1" applyBorder="1" applyAlignment="1" applyProtection="1">
      <alignment horizontal="center"/>
      <protection locked="0"/>
    </xf>
    <xf numFmtId="0" fontId="0" fillId="15" borderId="3" xfId="0" applyFont="1" applyFill="1" applyBorder="1" applyAlignment="1" applyProtection="1">
      <alignment horizontal="center" vertical="center" wrapText="1"/>
      <protection hidden="1"/>
    </xf>
    <xf numFmtId="0" fontId="0" fillId="15" borderId="3" xfId="0" applyFont="1" applyFill="1" applyBorder="1" applyAlignment="1" applyProtection="1">
      <alignment vertical="center" wrapText="1"/>
      <protection hidden="1"/>
    </xf>
    <xf numFmtId="0" fontId="0" fillId="15" borderId="12" xfId="0" applyFont="1" applyFill="1" applyBorder="1" applyAlignment="1" applyProtection="1">
      <alignment horizontal="center" vertical="center" wrapText="1"/>
      <protection hidden="1"/>
    </xf>
    <xf numFmtId="0" fontId="0" fillId="15" borderId="2" xfId="0" applyFont="1" applyFill="1" applyBorder="1" applyAlignment="1" applyProtection="1">
      <alignment horizontal="center" vertical="center" wrapText="1"/>
      <protection hidden="1"/>
    </xf>
    <xf numFmtId="0" fontId="0" fillId="15" borderId="60" xfId="0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3" xfId="0" applyFill="1" applyBorder="1" applyAlignment="1" applyProtection="1">
      <alignment horizontal="center" vertical="center" wrapText="1"/>
      <protection hidden="1"/>
    </xf>
    <xf numFmtId="0" fontId="0" fillId="5" borderId="3" xfId="0" applyFill="1" applyBorder="1" applyAlignment="1" applyProtection="1">
      <alignment horizontal="left" vertical="center"/>
      <protection hidden="1"/>
    </xf>
    <xf numFmtId="0" fontId="6" fillId="5" borderId="3" xfId="0" applyFont="1" applyFill="1" applyBorder="1" applyAlignment="1" applyProtection="1">
      <alignment horizontal="left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</cellXfs>
  <cellStyles count="3">
    <cellStyle name="Обычный" xfId="0" builtinId="0"/>
    <cellStyle name="Обычный 2" xfId="1" xr:uid="{00000000-0005-0000-0000-000001000000}"/>
    <cellStyle name="Обычный 2_Магадель" xfId="2" xr:uid="{00000000-0005-0000-0000-000002000000}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1544586</xdr:colOff>
      <xdr:row>7</xdr:row>
      <xdr:rowOff>11926</xdr:rowOff>
    </xdr:from>
    <xdr:to>
      <xdr:col>2</xdr:col>
      <xdr:colOff>3711260</xdr:colOff>
      <xdr:row>9</xdr:row>
      <xdr:rowOff>71310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1461" y="1497826"/>
          <a:ext cx="2166674" cy="4784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962025</xdr:colOff>
          <xdr:row>11</xdr:row>
          <xdr:rowOff>104775</xdr:rowOff>
        </xdr:from>
        <xdr:to>
          <xdr:col>2</xdr:col>
          <xdr:colOff>0</xdr:colOff>
          <xdr:row>12</xdr:row>
          <xdr:rowOff>104775</xdr:rowOff>
        </xdr:to>
        <xdr:sp macro="" textlink="">
          <xdr:nvSpPr>
            <xdr:cNvPr id="4097" name="Clear_par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Очистить параметры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43</xdr:row>
          <xdr:rowOff>0</xdr:rowOff>
        </xdr:from>
        <xdr:to>
          <xdr:col>1</xdr:col>
          <xdr:colOff>1981200</xdr:colOff>
          <xdr:row>44</xdr:row>
          <xdr:rowOff>19049</xdr:rowOff>
        </xdr:to>
        <xdr:sp macro="" textlink="">
          <xdr:nvSpPr>
            <xdr:cNvPr id="4098" name="Clear_pa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Создать спецификацию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152400</xdr:rowOff>
        </xdr:from>
        <xdr:to>
          <xdr:col>6</xdr:col>
          <xdr:colOff>1152525</xdr:colOff>
          <xdr:row>12</xdr:row>
          <xdr:rowOff>200025</xdr:rowOff>
        </xdr:to>
        <xdr:sp macro="" textlink="">
          <xdr:nvSpPr>
            <xdr:cNvPr id="4099" name="Clear_par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Очистить спецификацию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81642</xdr:colOff>
      <xdr:row>0</xdr:row>
      <xdr:rowOff>56829</xdr:rowOff>
    </xdr:from>
    <xdr:to>
      <xdr:col>0</xdr:col>
      <xdr:colOff>2926624</xdr:colOff>
      <xdr:row>3</xdr:row>
      <xdr:rowOff>124866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>
                      <a14:foregroundMark x1="14880" y1="44561" x2="14880" y2="44561"/>
                      <a14:foregroundMark x1="25428" y1="59123" x2="25428" y2="59123"/>
                      <a14:foregroundMark x1="29704" y1="51579" x2="29704" y2="51579"/>
                      <a14:foregroundMark x1="29932" y1="46667" x2="29932" y2="46667"/>
                      <a14:foregroundMark x1="29932" y1="40351" x2="29932" y2="40351"/>
                      <a14:foregroundMark x1="59635" y1="44561" x2="59635" y2="44561"/>
                      <a14:foregroundMark x1="73147" y1="45263" x2="73147" y2="4526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0408" t="22449" r="10894" b="26530"/>
        <a:stretch/>
      </xdr:blipFill>
      <xdr:spPr>
        <a:xfrm>
          <a:off x="81642" y="56829"/>
          <a:ext cx="3286942" cy="7081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48979</xdr:colOff>
      <xdr:row>16</xdr:row>
      <xdr:rowOff>30480</xdr:rowOff>
    </xdr:from>
    <xdr:to>
      <xdr:col>32</xdr:col>
      <xdr:colOff>449720</xdr:colOff>
      <xdr:row>98</xdr:row>
      <xdr:rowOff>186690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95219" y="4671060"/>
          <a:ext cx="12531781" cy="69265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rid.panahov\Desktop\&#1050;&#1086;&#1085;&#1092;&#1080;&#1075;&#1091;&#1088;&#1072;&#1090;&#1086;&#1088;%20&#1056;&#1077;&#1083;&#1077;\Configurator_Lighting_fixtures_Mitr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фигуратор"/>
      <sheetName val="Лист1"/>
      <sheetName val="Наименование"/>
      <sheetName val="Списки"/>
      <sheetName val="Configurator_Lighting_fixtures_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4:M623"/>
  <sheetViews>
    <sheetView tabSelected="1" zoomScale="80" zoomScaleNormal="80" workbookViewId="0">
      <selection activeCell="E6" sqref="E6:H10"/>
    </sheetView>
  </sheetViews>
  <sheetFormatPr defaultColWidth="8.125" defaultRowHeight="16.5" x14ac:dyDescent="0.3"/>
  <cols>
    <col min="1" max="1" width="39.75" style="31" customWidth="1"/>
    <col min="2" max="2" width="32.125" style="41" customWidth="1"/>
    <col min="3" max="3" width="52.375" style="42" customWidth="1"/>
    <col min="4" max="4" width="8.125" style="29" customWidth="1"/>
    <col min="5" max="5" width="11.125" style="29" bestFit="1" customWidth="1"/>
    <col min="6" max="6" width="15.75" style="31" bestFit="1" customWidth="1"/>
    <col min="7" max="7" width="85" style="141" customWidth="1"/>
    <col min="8" max="8" width="10.75" style="31" customWidth="1"/>
    <col min="9" max="9" width="8.125" style="31" customWidth="1"/>
    <col min="10" max="10" width="8.25" style="32" customWidth="1"/>
    <col min="11" max="11" width="6.125" style="32" customWidth="1"/>
    <col min="12" max="12" width="1.5" style="32" hidden="1" customWidth="1"/>
    <col min="13" max="13" width="6" style="32" customWidth="1"/>
    <col min="14" max="14" width="6" style="31" customWidth="1"/>
    <col min="15" max="15" width="8.125" style="31" customWidth="1"/>
    <col min="16" max="16384" width="8.125" style="31"/>
  </cols>
  <sheetData>
    <row r="4" spans="1:12" ht="17.25" thickBot="1" x14ac:dyDescent="0.35">
      <c r="A4" s="26"/>
      <c r="B4" s="27"/>
      <c r="C4" s="28"/>
      <c r="E4" s="30"/>
      <c r="F4" s="26"/>
      <c r="G4" s="139"/>
      <c r="H4" s="26"/>
    </row>
    <row r="5" spans="1:12" ht="17.25" thickBot="1" x14ac:dyDescent="0.35">
      <c r="A5" s="166" t="s">
        <v>367</v>
      </c>
      <c r="B5" s="167"/>
      <c r="C5" s="168"/>
      <c r="D5" s="33"/>
      <c r="E5" s="169" t="s">
        <v>342</v>
      </c>
      <c r="F5" s="170"/>
      <c r="G5" s="170"/>
      <c r="H5" s="171"/>
      <c r="I5" s="29"/>
    </row>
    <row r="6" spans="1:12" x14ac:dyDescent="0.3">
      <c r="A6" s="172" t="s">
        <v>409</v>
      </c>
      <c r="B6" s="173"/>
      <c r="C6" s="174"/>
      <c r="D6" s="34"/>
      <c r="E6" s="181" t="s">
        <v>412</v>
      </c>
      <c r="F6" s="182"/>
      <c r="G6" s="182"/>
      <c r="H6" s="183"/>
      <c r="I6" s="29"/>
    </row>
    <row r="7" spans="1:12" x14ac:dyDescent="0.3">
      <c r="A7" s="175"/>
      <c r="B7" s="176"/>
      <c r="C7" s="177"/>
      <c r="D7" s="34"/>
      <c r="E7" s="184"/>
      <c r="F7" s="185"/>
      <c r="G7" s="185"/>
      <c r="H7" s="186"/>
      <c r="I7" s="29"/>
      <c r="J7" s="32" t="str">
        <f>""</f>
        <v/>
      </c>
    </row>
    <row r="8" spans="1:12" x14ac:dyDescent="0.3">
      <c r="A8" s="175"/>
      <c r="B8" s="176"/>
      <c r="C8" s="177"/>
      <c r="D8" s="34"/>
      <c r="E8" s="184"/>
      <c r="F8" s="185"/>
      <c r="G8" s="185"/>
      <c r="H8" s="186"/>
      <c r="I8" s="29"/>
    </row>
    <row r="9" spans="1:12" x14ac:dyDescent="0.3">
      <c r="A9" s="175"/>
      <c r="B9" s="176"/>
      <c r="C9" s="177"/>
      <c r="D9" s="34"/>
      <c r="E9" s="184"/>
      <c r="F9" s="185"/>
      <c r="G9" s="185"/>
      <c r="H9" s="186"/>
      <c r="I9" s="29"/>
    </row>
    <row r="10" spans="1:12" ht="17.25" thickBot="1" x14ac:dyDescent="0.35">
      <c r="A10" s="178"/>
      <c r="B10" s="179"/>
      <c r="C10" s="180"/>
      <c r="D10" s="34"/>
      <c r="E10" s="187"/>
      <c r="F10" s="188"/>
      <c r="G10" s="188"/>
      <c r="H10" s="189"/>
      <c r="I10" s="29"/>
    </row>
    <row r="11" spans="1:12" x14ac:dyDescent="0.3">
      <c r="A11" s="35"/>
      <c r="B11" s="36"/>
      <c r="C11" s="37"/>
      <c r="E11" s="38"/>
      <c r="F11" s="35"/>
      <c r="G11" s="140"/>
      <c r="H11" s="35"/>
      <c r="I11" s="39"/>
    </row>
    <row r="12" spans="1:12" x14ac:dyDescent="0.3">
      <c r="A12" s="40"/>
      <c r="I12" s="39"/>
    </row>
    <row r="13" spans="1:12" x14ac:dyDescent="0.3">
      <c r="B13" s="43"/>
      <c r="C13" s="44"/>
      <c r="D13" s="45"/>
      <c r="I13" s="39"/>
    </row>
    <row r="14" spans="1:12" ht="17.25" thickBot="1" x14ac:dyDescent="0.35">
      <c r="A14" s="46"/>
      <c r="B14" s="47"/>
      <c r="C14" s="44"/>
      <c r="D14" s="48"/>
      <c r="E14" s="26"/>
      <c r="I14" s="39"/>
      <c r="L14" s="32" t="s">
        <v>343</v>
      </c>
    </row>
    <row r="15" spans="1:12" ht="18" thickBot="1" x14ac:dyDescent="0.35">
      <c r="A15" s="190" t="s">
        <v>344</v>
      </c>
      <c r="B15" s="191"/>
      <c r="C15" s="44"/>
      <c r="D15" s="45"/>
      <c r="E15" s="49" t="s">
        <v>345</v>
      </c>
      <c r="F15" s="50" t="s">
        <v>302</v>
      </c>
      <c r="G15" s="142" t="s">
        <v>303</v>
      </c>
      <c r="H15" s="50" t="s">
        <v>346</v>
      </c>
      <c r="I15" s="39"/>
      <c r="L15" s="32" t="str">
        <f t="shared" ref="L15:L78" si="0">LEFT(E15,12)</f>
        <v>№ позиции</v>
      </c>
    </row>
    <row r="16" spans="1:12" ht="18" thickBot="1" x14ac:dyDescent="0.35">
      <c r="A16" s="162" t="s">
        <v>349</v>
      </c>
      <c r="B16" s="163"/>
      <c r="C16" s="51"/>
      <c r="D16" s="52"/>
      <c r="E16" s="159" t="s">
        <v>407</v>
      </c>
      <c r="F16" s="160"/>
      <c r="G16" s="161"/>
      <c r="H16" s="161"/>
      <c r="L16" s="32" t="str">
        <f t="shared" si="0"/>
        <v>Спецификация</v>
      </c>
    </row>
    <row r="17" spans="1:12" ht="17.25" x14ac:dyDescent="0.3">
      <c r="A17" s="53"/>
      <c r="B17" s="54"/>
      <c r="C17" s="51"/>
      <c r="D17" s="52"/>
      <c r="E17" s="157" t="s">
        <v>349</v>
      </c>
      <c r="F17" s="158"/>
      <c r="G17" s="157"/>
      <c r="H17" s="157"/>
      <c r="L17" s="32" t="str">
        <f t="shared" si="0"/>
        <v>Реле</v>
      </c>
    </row>
    <row r="18" spans="1:12" ht="17.25" x14ac:dyDescent="0.3">
      <c r="A18" s="55" t="s">
        <v>404</v>
      </c>
      <c r="B18" s="61" t="s">
        <v>311</v>
      </c>
      <c r="C18" s="56" t="str">
        <f>IF(B18="","Выберите тип напряжения управления катушкой","")</f>
        <v/>
      </c>
      <c r="D18" s="33"/>
      <c r="E18" s="145">
        <v>1</v>
      </c>
      <c r="F18" s="146" t="s">
        <v>158</v>
      </c>
      <c r="G18" s="147" t="s">
        <v>159</v>
      </c>
      <c r="H18" s="148">
        <v>1</v>
      </c>
      <c r="L18" s="32" t="str">
        <f t="shared" si="0"/>
        <v>1</v>
      </c>
    </row>
    <row r="19" spans="1:12" ht="17.25" x14ac:dyDescent="0.3">
      <c r="A19" s="57"/>
      <c r="B19" s="58"/>
      <c r="C19" s="59"/>
      <c r="D19" s="60"/>
      <c r="E19" s="88" t="s">
        <v>408</v>
      </c>
      <c r="F19" s="89"/>
      <c r="G19" s="88"/>
      <c r="H19" s="88"/>
      <c r="L19" s="32" t="str">
        <f t="shared" si="0"/>
        <v/>
      </c>
    </row>
    <row r="20" spans="1:12" ht="17.25" x14ac:dyDescent="0.3">
      <c r="A20" s="55" t="s">
        <v>347</v>
      </c>
      <c r="B20" s="61">
        <v>12</v>
      </c>
      <c r="C20" s="56" t="str">
        <f>IF(B18="AC/DC",IF(OR(B20=12,B20=24,B20=110,B20=230),"","Возможное напряжение 12, 24, 110, 230"),IF(B18="DC",IF(OR(B20=12,B20=24,B20=48,B20=110,B20=220),"","Возможное напряжение 12, 24, 48, 110, 220"),IF(B18="AC",IF(OR(B20=12,B20=24,B20=110,B20=115,B20=230),"","Возможное напряжение 12, 24, 110, 115, 230"),IF(B20="","Выберите напряжение управления катушкой",""))))</f>
        <v/>
      </c>
      <c r="D20" s="33"/>
      <c r="E20" s="192" t="s">
        <v>410</v>
      </c>
      <c r="F20" s="193"/>
      <c r="G20" s="192"/>
      <c r="H20" s="192"/>
      <c r="L20" s="32" t="str">
        <f t="shared" si="0"/>
        <v>Аксессуары к</v>
      </c>
    </row>
    <row r="21" spans="1:12" ht="17.25" x14ac:dyDescent="0.3">
      <c r="A21" s="57"/>
      <c r="B21" s="58"/>
      <c r="C21" s="59"/>
      <c r="D21" s="60"/>
      <c r="E21" s="145">
        <v>1</v>
      </c>
      <c r="F21" s="146" t="s">
        <v>62</v>
      </c>
      <c r="G21" s="147" t="s">
        <v>63</v>
      </c>
      <c r="H21" s="148">
        <v>1</v>
      </c>
      <c r="L21" s="32" t="str">
        <f t="shared" si="0"/>
        <v>1</v>
      </c>
    </row>
    <row r="22" spans="1:12" ht="17.25" x14ac:dyDescent="0.3">
      <c r="A22" s="55" t="s">
        <v>405</v>
      </c>
      <c r="B22" s="61" t="s">
        <v>314</v>
      </c>
      <c r="C22" s="56" t="str">
        <f>IF($B$18="AC/DC",IF($B$22="1CO","","Тип контактов реле 1CO"),IF($B$18&amp;$B$20="DC48",IF($B$22="2CO","","Тип контактов реле 2CO"),IF($B$20=110,IF(B18&amp;B22="AC2CO","",IF(B18&amp;B20="DC110",IF(OR($B$22="2CO",$B$22="4CO"),"","Тип контактов реле 2CO или 4CO"),IF(B18&amp;B20="AC110",IF($B$22="2CO","","Тип контактов реле 2CO"),IF($B$22="","Выберите тип контактов реле","")))),IF($B$22="","Выберите тип контактов реле",""))))</f>
        <v/>
      </c>
      <c r="D22" s="33"/>
      <c r="E22" s="145">
        <v>2</v>
      </c>
      <c r="F22" s="146" t="s">
        <v>244</v>
      </c>
      <c r="G22" s="147" t="s">
        <v>245</v>
      </c>
      <c r="H22" s="148">
        <v>1</v>
      </c>
      <c r="L22" s="32" t="str">
        <f t="shared" si="0"/>
        <v>2</v>
      </c>
    </row>
    <row r="23" spans="1:12" ht="17.25" x14ac:dyDescent="0.3">
      <c r="A23" s="57"/>
      <c r="B23" s="120"/>
      <c r="C23" s="59"/>
      <c r="D23" s="60"/>
      <c r="E23" s="145">
        <v>3</v>
      </c>
      <c r="F23" s="146" t="s">
        <v>230</v>
      </c>
      <c r="G23" s="147" t="s">
        <v>231</v>
      </c>
      <c r="H23" s="148">
        <v>1</v>
      </c>
      <c r="L23" s="32" t="str">
        <f t="shared" si="0"/>
        <v>3</v>
      </c>
    </row>
    <row r="24" spans="1:12" ht="16.149999999999999" customHeight="1" x14ac:dyDescent="0.3">
      <c r="A24" s="55" t="s">
        <v>348</v>
      </c>
      <c r="B24" s="61">
        <v>8</v>
      </c>
      <c r="C24" s="56" t="str">
        <f>IF(B18="AC/DC",IF(B24=6,"","Коммутируемый ток реле 6"),IF($B$18&amp;$B$20="DC48",IF($B$24=8,"","Коммутируемый ток реле 8"),IF(B18&amp;B20="AC110",IF(B24=10,"","Коммутируемый ток реле 10"),IF(B22="1CO",IF(OR(B18&amp;B20="AC12"),IF(B24=12,"","Коммутируемый ток реле 12"),IF(OR(B24=12,B24=16),"","Возможный коммутируемый ток реле 12, 16")),IF(B18&amp;B20&amp;B22="DC1102CO",IF($B$24=8,"","Коммутируемый ток реле 8"),IF(B18&amp;B20&amp;B22="AC1152CO",IF(OR(B24=8,B24=12),"","Возможный коммутируемый ток реле 8, 12"),IF(B22="2CO",IF(OR(B24=8,B24=10,B24=12),"","Возможный коммутируемый ток реле 8, 10, 12"),IF(B22="3CO",IF(B24=16,"","Коммутируемый ток реле 16"),IF(B22="4CO",IF(B18&amp;B20&amp;B22="DC1104CO",IF(B24=6,"","Коммутируемый ток реле 6"),IF(OR(B24=5,B24=6),"","Возможный коммутируемый ток реле 5, 6")),IF(OR(B18&amp;B20&amp;B22="DC243CO",B18&amp;B20&amp;B22="AC123CO"),IF(B24=16,"","Коммутируемый ток реле 16"),IF(B24="","Выберите коммутируемый ток реле","")))))))))))</f>
        <v/>
      </c>
      <c r="D24" s="33"/>
      <c r="E24" s="211">
        <v>4</v>
      </c>
      <c r="F24" s="212" t="s">
        <v>64</v>
      </c>
      <c r="G24" s="213" t="s">
        <v>65</v>
      </c>
      <c r="H24" s="214">
        <v>1</v>
      </c>
      <c r="L24" s="32" t="str">
        <f t="shared" si="0"/>
        <v>4</v>
      </c>
    </row>
    <row r="25" spans="1:12" ht="16.149999999999999" customHeight="1" x14ac:dyDescent="0.3">
      <c r="A25" s="57"/>
      <c r="B25" s="120"/>
      <c r="C25" s="56"/>
      <c r="D25" s="33"/>
      <c r="E25" s="211">
        <v>5</v>
      </c>
      <c r="F25" s="212" t="s">
        <v>242</v>
      </c>
      <c r="G25" s="213" t="s">
        <v>243</v>
      </c>
      <c r="H25" s="214">
        <v>1</v>
      </c>
      <c r="L25" s="32" t="str">
        <f t="shared" si="0"/>
        <v>5</v>
      </c>
    </row>
    <row r="26" spans="1:12" ht="16.149999999999999" customHeight="1" x14ac:dyDescent="0.3">
      <c r="A26" s="55" t="s">
        <v>392</v>
      </c>
      <c r="B26" s="61" t="s">
        <v>374</v>
      </c>
      <c r="C26" s="56" t="str">
        <f>IF(B18="AC/DC",IF(B26&lt;&gt;"Нет","Интерфейсное реле без тест-кнопки",""),IF($B$18&amp;$B$20="DC48",IF($B$26="Нет","","Данное реле без тест-кнопки"),IF(OR($B$22&amp;$B$24="4CO6",$B$18&amp;$B$22="AC3CO",B22&amp;$B$24="2CO12",$B$22="3CO"),IF($B$26&lt;&gt;"Да","Выбранное реле с кнопкой",""),IF(OR($B$18&amp;$B$20&amp;$B$22="AC1102CO",B22&amp;$B$24="2CO10",B18&amp;B20&amp;B22&amp;$B$24="AC242CO10",$B$22&amp;$B$24="4CO5",$B$22&amp;$B$24="1CO16"),IF($B$26&lt;&gt;"Нет","Выбранное реле без кнопки",""),IF(B26="","Выберите наличие тест-кнопки","")))))</f>
        <v/>
      </c>
      <c r="D26" s="33"/>
      <c r="E26" s="145">
        <v>6</v>
      </c>
      <c r="F26" s="146" t="s">
        <v>274</v>
      </c>
      <c r="G26" s="147" t="s">
        <v>275</v>
      </c>
      <c r="H26" s="148">
        <v>1</v>
      </c>
      <c r="L26" s="32" t="str">
        <f t="shared" si="0"/>
        <v>6</v>
      </c>
    </row>
    <row r="27" spans="1:12" ht="16.149999999999999" customHeight="1" thickBot="1" x14ac:dyDescent="0.35">
      <c r="A27" s="67"/>
      <c r="B27" s="68"/>
      <c r="C27" s="56"/>
      <c r="D27" s="33"/>
      <c r="E27" s="88" t="s">
        <v>408</v>
      </c>
      <c r="F27" s="89"/>
      <c r="G27" s="88"/>
      <c r="H27" s="88"/>
      <c r="L27" s="32" t="str">
        <f t="shared" si="0"/>
        <v/>
      </c>
    </row>
    <row r="28" spans="1:12" ht="17.25" thickBot="1" x14ac:dyDescent="0.35">
      <c r="A28" s="144"/>
      <c r="B28" s="143"/>
      <c r="C28" s="56"/>
      <c r="D28" s="60"/>
      <c r="L28" s="32" t="str">
        <f t="shared" si="0"/>
        <v/>
      </c>
    </row>
    <row r="29" spans="1:12" ht="17.25" thickBot="1" x14ac:dyDescent="0.35">
      <c r="A29" s="164" t="s">
        <v>350</v>
      </c>
      <c r="B29" s="165"/>
      <c r="C29" s="56"/>
      <c r="D29" s="33"/>
      <c r="L29" s="32" t="str">
        <f t="shared" si="0"/>
        <v/>
      </c>
    </row>
    <row r="30" spans="1:12" x14ac:dyDescent="0.3">
      <c r="A30" s="63"/>
      <c r="B30" s="58"/>
      <c r="C30" s="59"/>
      <c r="D30" s="60"/>
      <c r="L30" s="32" t="str">
        <f t="shared" si="0"/>
        <v/>
      </c>
    </row>
    <row r="31" spans="1:12" x14ac:dyDescent="0.3">
      <c r="A31" s="55" t="s">
        <v>351</v>
      </c>
      <c r="B31" s="61" t="s">
        <v>399</v>
      </c>
      <c r="C31" s="56" t="str">
        <f>IF(Лист2!$F$4&amp;B31="IR-B3Push-in","Колодка с Винтовыми клемами",IF(B31="","Выберите тип зажима колодки",""))</f>
        <v/>
      </c>
      <c r="D31" s="33"/>
      <c r="L31" s="32" t="str">
        <f t="shared" si="0"/>
        <v/>
      </c>
    </row>
    <row r="32" spans="1:12" x14ac:dyDescent="0.3">
      <c r="A32" s="57"/>
      <c r="B32" s="62"/>
      <c r="C32" s="59"/>
      <c r="D32" s="56"/>
      <c r="L32" s="32" t="str">
        <f t="shared" si="0"/>
        <v/>
      </c>
    </row>
    <row r="33" spans="1:12" x14ac:dyDescent="0.3">
      <c r="A33" s="64" t="s">
        <v>352</v>
      </c>
      <c r="B33" s="61" t="s">
        <v>369</v>
      </c>
      <c r="C33" s="56" t="str">
        <f>IF(B18="AC/DC",IF(B33&lt;&gt;"","Интерфейсное реле без фиксатора",""),IF(Лист2!$F$4&amp;B33="IRM-BМеталл","Фиксатор пластиковый",IF(Лист2!$F$4&amp;B33="IR-B3Пластик","Фиксатор металлический",IF(B33="","Выберите материал фиксатора",""))))</f>
        <v/>
      </c>
      <c r="D33" s="56"/>
      <c r="L33" s="32" t="str">
        <f t="shared" si="0"/>
        <v/>
      </c>
    </row>
    <row r="34" spans="1:12" x14ac:dyDescent="0.3">
      <c r="A34" s="65"/>
      <c r="B34" s="66"/>
      <c r="D34" s="56"/>
      <c r="L34" s="32" t="str">
        <f t="shared" si="0"/>
        <v/>
      </c>
    </row>
    <row r="35" spans="1:12" x14ac:dyDescent="0.3">
      <c r="A35" s="55" t="s">
        <v>355</v>
      </c>
      <c r="B35" s="61" t="s">
        <v>375</v>
      </c>
      <c r="C35" s="56" t="str">
        <f>IF(B18="AC/DC",IF(B35&lt;&gt;"","Интерфейсное реле имеет маркировку в составе",""),IF(Лист2!$F$4&amp;B35="IR-B3Да","Колодка без маркировки",IF(B35="","Выберите наличие маркировки","")))</f>
        <v/>
      </c>
      <c r="D35" s="56"/>
      <c r="L35" s="32" t="str">
        <f t="shared" si="0"/>
        <v/>
      </c>
    </row>
    <row r="36" spans="1:12" x14ac:dyDescent="0.3">
      <c r="A36" s="63"/>
      <c r="B36" s="66"/>
      <c r="C36" s="56"/>
      <c r="D36" s="60"/>
      <c r="L36" s="32" t="str">
        <f t="shared" si="0"/>
        <v/>
      </c>
    </row>
    <row r="37" spans="1:12" x14ac:dyDescent="0.3">
      <c r="A37" s="55" t="s">
        <v>356</v>
      </c>
      <c r="B37" s="61" t="s">
        <v>374</v>
      </c>
      <c r="C37" s="56" t="str">
        <f>IF(OR(Лист2!$F$4="IR-B3"),IF(B37="Да","Колодка без соединителя",""),IF(B37="","Выберите наличие шинного соединителя",""))</f>
        <v/>
      </c>
      <c r="D37" s="33"/>
      <c r="L37" s="32" t="str">
        <f t="shared" si="0"/>
        <v/>
      </c>
    </row>
    <row r="38" spans="1:12" x14ac:dyDescent="0.3">
      <c r="A38" s="57"/>
      <c r="B38" s="66"/>
      <c r="C38" s="56"/>
      <c r="D38" s="60"/>
      <c r="L38" s="32" t="str">
        <f t="shared" si="0"/>
        <v/>
      </c>
    </row>
    <row r="39" spans="1:12" x14ac:dyDescent="0.3">
      <c r="A39" s="55" t="s">
        <v>357</v>
      </c>
      <c r="B39" s="61" t="s">
        <v>374</v>
      </c>
      <c r="C39" s="56" t="str">
        <f>IF(B18="AC/DC",IF(B39="Да","Интерфейсное реле без модуля индикации и защиты",""),IF(B39="","Выберите наличие модуля индикации и защиты",""))</f>
        <v/>
      </c>
      <c r="D39" s="33"/>
      <c r="L39" s="32" t="str">
        <f t="shared" si="0"/>
        <v/>
      </c>
    </row>
    <row r="40" spans="1:12" x14ac:dyDescent="0.3">
      <c r="A40" s="63"/>
      <c r="B40" s="66"/>
      <c r="C40" s="56"/>
      <c r="D40" s="60"/>
      <c r="L40" s="32" t="str">
        <f t="shared" si="0"/>
        <v/>
      </c>
    </row>
    <row r="41" spans="1:12" x14ac:dyDescent="0.3">
      <c r="A41" s="55" t="s">
        <v>358</v>
      </c>
      <c r="B41" s="61" t="s">
        <v>332</v>
      </c>
      <c r="C41" s="56" t="str">
        <f>IF(B39="Да",IF(B41&lt;&gt;"",IF(B18="AC/DC","Реле без модуля индикации и защиты",IF(Лист2!C15="Ошибка параметров ввода","Выберите другой тип модуля индикации и защиты",IF(B41="","Выберите тип модуля индикации и защиты",""))),IF(B41="","Выберите тип модуля индикации и защиты","")),IF(B41&lt;&gt;"","Модуль индикации и защиты отсутствует",""))</f>
        <v/>
      </c>
      <c r="D41" s="33"/>
      <c r="L41" s="32" t="str">
        <f t="shared" si="0"/>
        <v/>
      </c>
    </row>
    <row r="42" spans="1:12" ht="17.25" thickBot="1" x14ac:dyDescent="0.35">
      <c r="A42" s="67"/>
      <c r="B42" s="68"/>
      <c r="C42" s="59"/>
      <c r="D42" s="71"/>
      <c r="L42" s="32" t="str">
        <f t="shared" si="0"/>
        <v/>
      </c>
    </row>
    <row r="43" spans="1:12" x14ac:dyDescent="0.3">
      <c r="A43" s="144"/>
      <c r="B43" s="143"/>
      <c r="C43" s="59"/>
      <c r="D43" s="71"/>
      <c r="L43" s="32" t="str">
        <f t="shared" si="0"/>
        <v/>
      </c>
    </row>
    <row r="44" spans="1:12" x14ac:dyDescent="0.3">
      <c r="A44" s="41"/>
      <c r="B44" s="70"/>
      <c r="C44" s="71"/>
      <c r="D44" s="71"/>
      <c r="L44" s="32" t="str">
        <f t="shared" si="0"/>
        <v/>
      </c>
    </row>
    <row r="45" spans="1:12" x14ac:dyDescent="0.3">
      <c r="A45" s="41"/>
      <c r="B45" s="70"/>
      <c r="C45" s="72"/>
      <c r="D45" s="71"/>
      <c r="L45" s="32" t="str">
        <f t="shared" si="0"/>
        <v/>
      </c>
    </row>
    <row r="46" spans="1:12" x14ac:dyDescent="0.3">
      <c r="A46" s="41"/>
      <c r="B46" s="70"/>
      <c r="C46" s="72"/>
      <c r="D46" s="71"/>
      <c r="L46" s="32" t="str">
        <f t="shared" si="0"/>
        <v/>
      </c>
    </row>
    <row r="47" spans="1:12" x14ac:dyDescent="0.3">
      <c r="A47" s="41"/>
      <c r="B47" s="70"/>
      <c r="C47" s="71"/>
      <c r="D47" s="31"/>
      <c r="L47" s="32" t="str">
        <f t="shared" si="0"/>
        <v/>
      </c>
    </row>
    <row r="48" spans="1:12" x14ac:dyDescent="0.3">
      <c r="A48" s="41"/>
      <c r="B48" s="70"/>
      <c r="C48" s="71"/>
      <c r="D48" s="69"/>
      <c r="L48" s="32" t="str">
        <f t="shared" si="0"/>
        <v/>
      </c>
    </row>
    <row r="49" spans="1:12" x14ac:dyDescent="0.3">
      <c r="A49" s="41"/>
      <c r="B49" s="31"/>
      <c r="C49" s="31"/>
      <c r="D49" s="71"/>
      <c r="L49" s="32" t="str">
        <f t="shared" si="0"/>
        <v/>
      </c>
    </row>
    <row r="50" spans="1:12" x14ac:dyDescent="0.3">
      <c r="A50" s="41"/>
      <c r="B50" s="69"/>
      <c r="C50" s="69"/>
      <c r="D50" s="71"/>
      <c r="L50" s="32" t="str">
        <f t="shared" si="0"/>
        <v/>
      </c>
    </row>
    <row r="51" spans="1:12" x14ac:dyDescent="0.3">
      <c r="A51" s="41"/>
      <c r="B51" s="70"/>
      <c r="C51" s="71"/>
      <c r="D51" s="71"/>
      <c r="L51" s="32" t="str">
        <f t="shared" si="0"/>
        <v/>
      </c>
    </row>
    <row r="52" spans="1:12" x14ac:dyDescent="0.3">
      <c r="A52" s="41"/>
      <c r="B52" s="70"/>
      <c r="C52" s="72"/>
      <c r="D52" s="71"/>
      <c r="L52" s="32" t="str">
        <f t="shared" si="0"/>
        <v/>
      </c>
    </row>
    <row r="53" spans="1:12" x14ac:dyDescent="0.3">
      <c r="A53" s="41"/>
      <c r="B53" s="70"/>
      <c r="C53" s="71"/>
      <c r="D53" s="71"/>
      <c r="L53" s="32" t="str">
        <f t="shared" si="0"/>
        <v/>
      </c>
    </row>
    <row r="54" spans="1:12" x14ac:dyDescent="0.3">
      <c r="A54" s="41"/>
      <c r="B54" s="70"/>
      <c r="C54" s="71"/>
      <c r="D54" s="31"/>
      <c r="L54" s="32" t="str">
        <f t="shared" si="0"/>
        <v/>
      </c>
    </row>
    <row r="55" spans="1:12" x14ac:dyDescent="0.3">
      <c r="A55" s="41"/>
      <c r="B55" s="70"/>
      <c r="C55" s="71"/>
      <c r="D55" s="73"/>
      <c r="L55" s="32" t="str">
        <f t="shared" si="0"/>
        <v/>
      </c>
    </row>
    <row r="56" spans="1:12" x14ac:dyDescent="0.3">
      <c r="A56" s="41"/>
      <c r="B56" s="31"/>
      <c r="C56" s="31"/>
      <c r="D56" s="71"/>
      <c r="L56" s="32" t="str">
        <f t="shared" si="0"/>
        <v/>
      </c>
    </row>
    <row r="57" spans="1:12" x14ac:dyDescent="0.3">
      <c r="A57" s="41"/>
      <c r="B57" s="73"/>
      <c r="C57" s="73"/>
      <c r="D57" s="38"/>
      <c r="L57" s="32" t="str">
        <f t="shared" si="0"/>
        <v/>
      </c>
    </row>
    <row r="58" spans="1:12" x14ac:dyDescent="0.3">
      <c r="A58" s="41"/>
      <c r="B58" s="70"/>
      <c r="C58" s="71"/>
      <c r="L58" s="32" t="str">
        <f t="shared" si="0"/>
        <v/>
      </c>
    </row>
    <row r="59" spans="1:12" x14ac:dyDescent="0.3">
      <c r="B59" s="36"/>
      <c r="C59" s="37"/>
      <c r="L59" s="32" t="str">
        <f t="shared" si="0"/>
        <v/>
      </c>
    </row>
    <row r="60" spans="1:12" x14ac:dyDescent="0.3">
      <c r="L60" s="32" t="str">
        <f t="shared" si="0"/>
        <v/>
      </c>
    </row>
    <row r="61" spans="1:12" x14ac:dyDescent="0.3">
      <c r="L61" s="32" t="str">
        <f t="shared" si="0"/>
        <v/>
      </c>
    </row>
    <row r="62" spans="1:12" x14ac:dyDescent="0.3">
      <c r="L62" s="32" t="str">
        <f t="shared" si="0"/>
        <v/>
      </c>
    </row>
    <row r="63" spans="1:12" x14ac:dyDescent="0.3">
      <c r="L63" s="32" t="str">
        <f t="shared" si="0"/>
        <v/>
      </c>
    </row>
    <row r="64" spans="1:12" x14ac:dyDescent="0.3">
      <c r="L64" s="32" t="str">
        <f t="shared" si="0"/>
        <v/>
      </c>
    </row>
    <row r="65" spans="12:12" x14ac:dyDescent="0.3">
      <c r="L65" s="32" t="str">
        <f t="shared" si="0"/>
        <v/>
      </c>
    </row>
    <row r="66" spans="12:12" x14ac:dyDescent="0.3">
      <c r="L66" s="32" t="str">
        <f t="shared" si="0"/>
        <v/>
      </c>
    </row>
    <row r="67" spans="12:12" x14ac:dyDescent="0.3">
      <c r="L67" s="32" t="str">
        <f t="shared" si="0"/>
        <v/>
      </c>
    </row>
    <row r="68" spans="12:12" x14ac:dyDescent="0.3">
      <c r="L68" s="32" t="str">
        <f t="shared" si="0"/>
        <v/>
      </c>
    </row>
    <row r="69" spans="12:12" x14ac:dyDescent="0.3">
      <c r="L69" s="32" t="str">
        <f t="shared" si="0"/>
        <v/>
      </c>
    </row>
    <row r="70" spans="12:12" x14ac:dyDescent="0.3">
      <c r="L70" s="32" t="str">
        <f t="shared" si="0"/>
        <v/>
      </c>
    </row>
    <row r="71" spans="12:12" x14ac:dyDescent="0.3">
      <c r="L71" s="32" t="str">
        <f t="shared" si="0"/>
        <v/>
      </c>
    </row>
    <row r="72" spans="12:12" x14ac:dyDescent="0.3">
      <c r="L72" s="32" t="str">
        <f t="shared" si="0"/>
        <v/>
      </c>
    </row>
    <row r="73" spans="12:12" x14ac:dyDescent="0.3">
      <c r="L73" s="32" t="str">
        <f t="shared" si="0"/>
        <v/>
      </c>
    </row>
    <row r="74" spans="12:12" x14ac:dyDescent="0.3">
      <c r="L74" s="32" t="str">
        <f t="shared" si="0"/>
        <v/>
      </c>
    </row>
    <row r="75" spans="12:12" x14ac:dyDescent="0.3">
      <c r="L75" s="32" t="str">
        <f t="shared" si="0"/>
        <v/>
      </c>
    </row>
    <row r="76" spans="12:12" x14ac:dyDescent="0.3">
      <c r="L76" s="32" t="str">
        <f t="shared" si="0"/>
        <v/>
      </c>
    </row>
    <row r="77" spans="12:12" x14ac:dyDescent="0.3">
      <c r="L77" s="32" t="str">
        <f t="shared" si="0"/>
        <v/>
      </c>
    </row>
    <row r="78" spans="12:12" x14ac:dyDescent="0.3">
      <c r="L78" s="32" t="str">
        <f t="shared" si="0"/>
        <v/>
      </c>
    </row>
    <row r="79" spans="12:12" x14ac:dyDescent="0.3">
      <c r="L79" s="32" t="str">
        <f t="shared" ref="L79:L142" si="1">LEFT(E79,12)</f>
        <v/>
      </c>
    </row>
    <row r="80" spans="12:12" x14ac:dyDescent="0.3">
      <c r="L80" s="32" t="str">
        <f t="shared" si="1"/>
        <v/>
      </c>
    </row>
    <row r="81" spans="12:12" x14ac:dyDescent="0.3">
      <c r="L81" s="32" t="str">
        <f t="shared" si="1"/>
        <v/>
      </c>
    </row>
    <row r="82" spans="12:12" x14ac:dyDescent="0.3">
      <c r="L82" s="32" t="str">
        <f t="shared" si="1"/>
        <v/>
      </c>
    </row>
    <row r="83" spans="12:12" x14ac:dyDescent="0.3">
      <c r="L83" s="32" t="str">
        <f t="shared" si="1"/>
        <v/>
      </c>
    </row>
    <row r="84" spans="12:12" x14ac:dyDescent="0.3">
      <c r="L84" s="32" t="str">
        <f t="shared" si="1"/>
        <v/>
      </c>
    </row>
    <row r="85" spans="12:12" x14ac:dyDescent="0.3">
      <c r="L85" s="32" t="str">
        <f t="shared" si="1"/>
        <v/>
      </c>
    </row>
    <row r="86" spans="12:12" x14ac:dyDescent="0.3">
      <c r="L86" s="32" t="str">
        <f t="shared" si="1"/>
        <v/>
      </c>
    </row>
    <row r="87" spans="12:12" x14ac:dyDescent="0.3">
      <c r="L87" s="32" t="str">
        <f t="shared" si="1"/>
        <v/>
      </c>
    </row>
    <row r="88" spans="12:12" x14ac:dyDescent="0.3">
      <c r="L88" s="32" t="str">
        <f t="shared" si="1"/>
        <v/>
      </c>
    </row>
    <row r="89" spans="12:12" x14ac:dyDescent="0.3">
      <c r="L89" s="32" t="str">
        <f t="shared" si="1"/>
        <v/>
      </c>
    </row>
    <row r="90" spans="12:12" x14ac:dyDescent="0.3">
      <c r="L90" s="32" t="str">
        <f t="shared" si="1"/>
        <v/>
      </c>
    </row>
    <row r="91" spans="12:12" x14ac:dyDescent="0.3">
      <c r="L91" s="32" t="str">
        <f t="shared" si="1"/>
        <v/>
      </c>
    </row>
    <row r="92" spans="12:12" x14ac:dyDescent="0.3">
      <c r="L92" s="32" t="str">
        <f t="shared" si="1"/>
        <v/>
      </c>
    </row>
    <row r="93" spans="12:12" x14ac:dyDescent="0.3">
      <c r="L93" s="32" t="str">
        <f t="shared" si="1"/>
        <v/>
      </c>
    </row>
    <row r="94" spans="12:12" x14ac:dyDescent="0.3">
      <c r="L94" s="32" t="str">
        <f t="shared" si="1"/>
        <v/>
      </c>
    </row>
    <row r="95" spans="12:12" x14ac:dyDescent="0.3">
      <c r="L95" s="32" t="str">
        <f t="shared" si="1"/>
        <v/>
      </c>
    </row>
    <row r="96" spans="12:12" x14ac:dyDescent="0.3">
      <c r="L96" s="32" t="str">
        <f t="shared" si="1"/>
        <v/>
      </c>
    </row>
    <row r="97" spans="12:12" x14ac:dyDescent="0.3">
      <c r="L97" s="32" t="str">
        <f t="shared" si="1"/>
        <v/>
      </c>
    </row>
    <row r="98" spans="12:12" x14ac:dyDescent="0.3">
      <c r="L98" s="32" t="str">
        <f t="shared" si="1"/>
        <v/>
      </c>
    </row>
    <row r="99" spans="12:12" x14ac:dyDescent="0.3">
      <c r="L99" s="32" t="str">
        <f t="shared" si="1"/>
        <v/>
      </c>
    </row>
    <row r="100" spans="12:12" x14ac:dyDescent="0.3">
      <c r="L100" s="32" t="str">
        <f t="shared" si="1"/>
        <v/>
      </c>
    </row>
    <row r="101" spans="12:12" x14ac:dyDescent="0.3">
      <c r="L101" s="32" t="str">
        <f t="shared" si="1"/>
        <v/>
      </c>
    </row>
    <row r="102" spans="12:12" x14ac:dyDescent="0.3">
      <c r="L102" s="32" t="str">
        <f t="shared" si="1"/>
        <v/>
      </c>
    </row>
    <row r="103" spans="12:12" x14ac:dyDescent="0.3">
      <c r="L103" s="32" t="str">
        <f t="shared" si="1"/>
        <v/>
      </c>
    </row>
    <row r="104" spans="12:12" x14ac:dyDescent="0.3">
      <c r="L104" s="32" t="str">
        <f t="shared" si="1"/>
        <v/>
      </c>
    </row>
    <row r="105" spans="12:12" x14ac:dyDescent="0.3">
      <c r="L105" s="32" t="str">
        <f t="shared" si="1"/>
        <v/>
      </c>
    </row>
    <row r="106" spans="12:12" x14ac:dyDescent="0.3">
      <c r="L106" s="32" t="str">
        <f t="shared" si="1"/>
        <v/>
      </c>
    </row>
    <row r="107" spans="12:12" x14ac:dyDescent="0.3">
      <c r="L107" s="32" t="str">
        <f t="shared" si="1"/>
        <v/>
      </c>
    </row>
    <row r="108" spans="12:12" x14ac:dyDescent="0.3">
      <c r="L108" s="32" t="str">
        <f t="shared" si="1"/>
        <v/>
      </c>
    </row>
    <row r="109" spans="12:12" x14ac:dyDescent="0.3">
      <c r="L109" s="32" t="str">
        <f t="shared" si="1"/>
        <v/>
      </c>
    </row>
    <row r="110" spans="12:12" x14ac:dyDescent="0.3">
      <c r="L110" s="32" t="str">
        <f t="shared" si="1"/>
        <v/>
      </c>
    </row>
    <row r="111" spans="12:12" x14ac:dyDescent="0.3">
      <c r="L111" s="32" t="str">
        <f t="shared" si="1"/>
        <v/>
      </c>
    </row>
    <row r="112" spans="12:12" x14ac:dyDescent="0.3">
      <c r="L112" s="32" t="str">
        <f t="shared" si="1"/>
        <v/>
      </c>
    </row>
    <row r="113" spans="12:12" x14ac:dyDescent="0.3">
      <c r="L113" s="32" t="str">
        <f t="shared" si="1"/>
        <v/>
      </c>
    </row>
    <row r="114" spans="12:12" x14ac:dyDescent="0.3">
      <c r="L114" s="32" t="str">
        <f t="shared" si="1"/>
        <v/>
      </c>
    </row>
    <row r="115" spans="12:12" x14ac:dyDescent="0.3">
      <c r="L115" s="32" t="str">
        <f t="shared" si="1"/>
        <v/>
      </c>
    </row>
    <row r="116" spans="12:12" x14ac:dyDescent="0.3">
      <c r="L116" s="32" t="str">
        <f t="shared" si="1"/>
        <v/>
      </c>
    </row>
    <row r="117" spans="12:12" x14ac:dyDescent="0.3">
      <c r="L117" s="32" t="str">
        <f t="shared" si="1"/>
        <v/>
      </c>
    </row>
    <row r="118" spans="12:12" x14ac:dyDescent="0.3">
      <c r="L118" s="32" t="str">
        <f t="shared" si="1"/>
        <v/>
      </c>
    </row>
    <row r="119" spans="12:12" x14ac:dyDescent="0.3">
      <c r="L119" s="32" t="str">
        <f t="shared" si="1"/>
        <v/>
      </c>
    </row>
    <row r="120" spans="12:12" x14ac:dyDescent="0.3">
      <c r="L120" s="32" t="str">
        <f t="shared" si="1"/>
        <v/>
      </c>
    </row>
    <row r="121" spans="12:12" x14ac:dyDescent="0.3">
      <c r="L121" s="32" t="str">
        <f t="shared" si="1"/>
        <v/>
      </c>
    </row>
    <row r="122" spans="12:12" x14ac:dyDescent="0.3">
      <c r="L122" s="32" t="str">
        <f t="shared" si="1"/>
        <v/>
      </c>
    </row>
    <row r="123" spans="12:12" x14ac:dyDescent="0.3">
      <c r="L123" s="32" t="str">
        <f t="shared" si="1"/>
        <v/>
      </c>
    </row>
    <row r="124" spans="12:12" x14ac:dyDescent="0.3">
      <c r="L124" s="32" t="str">
        <f t="shared" si="1"/>
        <v/>
      </c>
    </row>
    <row r="125" spans="12:12" x14ac:dyDescent="0.3">
      <c r="L125" s="32" t="str">
        <f t="shared" si="1"/>
        <v/>
      </c>
    </row>
    <row r="126" spans="12:12" x14ac:dyDescent="0.3">
      <c r="L126" s="32" t="str">
        <f t="shared" si="1"/>
        <v/>
      </c>
    </row>
    <row r="127" spans="12:12" x14ac:dyDescent="0.3">
      <c r="L127" s="32" t="str">
        <f t="shared" si="1"/>
        <v/>
      </c>
    </row>
    <row r="128" spans="12:12" x14ac:dyDescent="0.3">
      <c r="L128" s="32" t="str">
        <f t="shared" si="1"/>
        <v/>
      </c>
    </row>
    <row r="129" spans="12:12" x14ac:dyDescent="0.3">
      <c r="L129" s="32" t="str">
        <f t="shared" si="1"/>
        <v/>
      </c>
    </row>
    <row r="130" spans="12:12" x14ac:dyDescent="0.3">
      <c r="L130" s="32" t="str">
        <f t="shared" si="1"/>
        <v/>
      </c>
    </row>
    <row r="131" spans="12:12" x14ac:dyDescent="0.3">
      <c r="L131" s="32" t="str">
        <f t="shared" si="1"/>
        <v/>
      </c>
    </row>
    <row r="132" spans="12:12" x14ac:dyDescent="0.3">
      <c r="L132" s="32" t="str">
        <f t="shared" si="1"/>
        <v/>
      </c>
    </row>
    <row r="133" spans="12:12" x14ac:dyDescent="0.3">
      <c r="L133" s="32" t="str">
        <f t="shared" si="1"/>
        <v/>
      </c>
    </row>
    <row r="134" spans="12:12" x14ac:dyDescent="0.3">
      <c r="L134" s="32" t="str">
        <f t="shared" si="1"/>
        <v/>
      </c>
    </row>
    <row r="135" spans="12:12" x14ac:dyDescent="0.3">
      <c r="L135" s="32" t="str">
        <f t="shared" si="1"/>
        <v/>
      </c>
    </row>
    <row r="136" spans="12:12" x14ac:dyDescent="0.3">
      <c r="L136" s="32" t="str">
        <f t="shared" si="1"/>
        <v/>
      </c>
    </row>
    <row r="137" spans="12:12" x14ac:dyDescent="0.3">
      <c r="L137" s="32" t="str">
        <f t="shared" si="1"/>
        <v/>
      </c>
    </row>
    <row r="138" spans="12:12" x14ac:dyDescent="0.3">
      <c r="L138" s="32" t="str">
        <f t="shared" si="1"/>
        <v/>
      </c>
    </row>
    <row r="139" spans="12:12" x14ac:dyDescent="0.3">
      <c r="L139" s="32" t="str">
        <f t="shared" si="1"/>
        <v/>
      </c>
    </row>
    <row r="140" spans="12:12" x14ac:dyDescent="0.3">
      <c r="L140" s="32" t="str">
        <f t="shared" si="1"/>
        <v/>
      </c>
    </row>
    <row r="141" spans="12:12" x14ac:dyDescent="0.3">
      <c r="L141" s="32" t="str">
        <f t="shared" si="1"/>
        <v/>
      </c>
    </row>
    <row r="142" spans="12:12" x14ac:dyDescent="0.3">
      <c r="L142" s="32" t="str">
        <f t="shared" si="1"/>
        <v/>
      </c>
    </row>
    <row r="143" spans="12:12" x14ac:dyDescent="0.3">
      <c r="L143" s="32" t="str">
        <f t="shared" ref="L143:L206" si="2">LEFT(E143,12)</f>
        <v/>
      </c>
    </row>
    <row r="144" spans="12:12" x14ac:dyDescent="0.3">
      <c r="L144" s="32" t="str">
        <f t="shared" si="2"/>
        <v/>
      </c>
    </row>
    <row r="145" spans="12:12" x14ac:dyDescent="0.3">
      <c r="L145" s="32" t="str">
        <f t="shared" si="2"/>
        <v/>
      </c>
    </row>
    <row r="146" spans="12:12" x14ac:dyDescent="0.3">
      <c r="L146" s="32" t="str">
        <f t="shared" si="2"/>
        <v/>
      </c>
    </row>
    <row r="147" spans="12:12" x14ac:dyDescent="0.3">
      <c r="L147" s="32" t="str">
        <f t="shared" si="2"/>
        <v/>
      </c>
    </row>
    <row r="148" spans="12:12" x14ac:dyDescent="0.3">
      <c r="L148" s="32" t="str">
        <f t="shared" si="2"/>
        <v/>
      </c>
    </row>
    <row r="149" spans="12:12" x14ac:dyDescent="0.3">
      <c r="L149" s="32" t="str">
        <f t="shared" si="2"/>
        <v/>
      </c>
    </row>
    <row r="150" spans="12:12" x14ac:dyDescent="0.3">
      <c r="L150" s="32" t="str">
        <f t="shared" si="2"/>
        <v/>
      </c>
    </row>
    <row r="151" spans="12:12" x14ac:dyDescent="0.3">
      <c r="L151" s="32" t="str">
        <f t="shared" si="2"/>
        <v/>
      </c>
    </row>
    <row r="152" spans="12:12" x14ac:dyDescent="0.3">
      <c r="L152" s="32" t="str">
        <f t="shared" si="2"/>
        <v/>
      </c>
    </row>
    <row r="153" spans="12:12" x14ac:dyDescent="0.3">
      <c r="L153" s="32" t="str">
        <f t="shared" si="2"/>
        <v/>
      </c>
    </row>
    <row r="154" spans="12:12" x14ac:dyDescent="0.3">
      <c r="L154" s="32" t="str">
        <f t="shared" si="2"/>
        <v/>
      </c>
    </row>
    <row r="155" spans="12:12" x14ac:dyDescent="0.3">
      <c r="L155" s="32" t="str">
        <f t="shared" si="2"/>
        <v/>
      </c>
    </row>
    <row r="156" spans="12:12" x14ac:dyDescent="0.3">
      <c r="L156" s="32" t="str">
        <f t="shared" si="2"/>
        <v/>
      </c>
    </row>
    <row r="157" spans="12:12" x14ac:dyDescent="0.3">
      <c r="L157" s="32" t="str">
        <f t="shared" si="2"/>
        <v/>
      </c>
    </row>
    <row r="158" spans="12:12" x14ac:dyDescent="0.3">
      <c r="L158" s="32" t="str">
        <f t="shared" si="2"/>
        <v/>
      </c>
    </row>
    <row r="159" spans="12:12" x14ac:dyDescent="0.3">
      <c r="L159" s="32" t="str">
        <f t="shared" si="2"/>
        <v/>
      </c>
    </row>
    <row r="160" spans="12:12" x14ac:dyDescent="0.3">
      <c r="L160" s="32" t="str">
        <f t="shared" si="2"/>
        <v/>
      </c>
    </row>
    <row r="161" spans="12:12" x14ac:dyDescent="0.3">
      <c r="L161" s="32" t="str">
        <f t="shared" si="2"/>
        <v/>
      </c>
    </row>
    <row r="162" spans="12:12" x14ac:dyDescent="0.3">
      <c r="L162" s="32" t="str">
        <f t="shared" si="2"/>
        <v/>
      </c>
    </row>
    <row r="163" spans="12:12" x14ac:dyDescent="0.3">
      <c r="L163" s="32" t="str">
        <f t="shared" si="2"/>
        <v/>
      </c>
    </row>
    <row r="164" spans="12:12" x14ac:dyDescent="0.3">
      <c r="L164" s="32" t="str">
        <f t="shared" si="2"/>
        <v/>
      </c>
    </row>
    <row r="165" spans="12:12" x14ac:dyDescent="0.3">
      <c r="L165" s="32" t="str">
        <f t="shared" si="2"/>
        <v/>
      </c>
    </row>
    <row r="166" spans="12:12" x14ac:dyDescent="0.3">
      <c r="L166" s="32" t="str">
        <f t="shared" si="2"/>
        <v/>
      </c>
    </row>
    <row r="167" spans="12:12" x14ac:dyDescent="0.3">
      <c r="L167" s="32" t="str">
        <f t="shared" si="2"/>
        <v/>
      </c>
    </row>
    <row r="168" spans="12:12" x14ac:dyDescent="0.3">
      <c r="L168" s="32" t="str">
        <f t="shared" si="2"/>
        <v/>
      </c>
    </row>
    <row r="169" spans="12:12" x14ac:dyDescent="0.3">
      <c r="L169" s="32" t="str">
        <f t="shared" si="2"/>
        <v/>
      </c>
    </row>
    <row r="170" spans="12:12" x14ac:dyDescent="0.3">
      <c r="L170" s="32" t="str">
        <f t="shared" si="2"/>
        <v/>
      </c>
    </row>
    <row r="171" spans="12:12" x14ac:dyDescent="0.3">
      <c r="L171" s="32" t="str">
        <f t="shared" si="2"/>
        <v/>
      </c>
    </row>
    <row r="172" spans="12:12" x14ac:dyDescent="0.3">
      <c r="L172" s="32" t="str">
        <f t="shared" si="2"/>
        <v/>
      </c>
    </row>
    <row r="173" spans="12:12" x14ac:dyDescent="0.3">
      <c r="L173" s="32" t="str">
        <f t="shared" si="2"/>
        <v/>
      </c>
    </row>
    <row r="174" spans="12:12" x14ac:dyDescent="0.3">
      <c r="L174" s="32" t="str">
        <f t="shared" si="2"/>
        <v/>
      </c>
    </row>
    <row r="175" spans="12:12" x14ac:dyDescent="0.3">
      <c r="L175" s="32" t="str">
        <f t="shared" si="2"/>
        <v/>
      </c>
    </row>
    <row r="176" spans="12:12" x14ac:dyDescent="0.3">
      <c r="L176" s="32" t="str">
        <f t="shared" si="2"/>
        <v/>
      </c>
    </row>
    <row r="177" spans="12:12" x14ac:dyDescent="0.3">
      <c r="L177" s="32" t="str">
        <f t="shared" si="2"/>
        <v/>
      </c>
    </row>
    <row r="178" spans="12:12" x14ac:dyDescent="0.3">
      <c r="L178" s="32" t="str">
        <f t="shared" si="2"/>
        <v/>
      </c>
    </row>
    <row r="179" spans="12:12" x14ac:dyDescent="0.3">
      <c r="L179" s="32" t="str">
        <f t="shared" si="2"/>
        <v/>
      </c>
    </row>
    <row r="180" spans="12:12" x14ac:dyDescent="0.3">
      <c r="L180" s="32" t="str">
        <f t="shared" si="2"/>
        <v/>
      </c>
    </row>
    <row r="181" spans="12:12" x14ac:dyDescent="0.3">
      <c r="L181" s="32" t="str">
        <f t="shared" si="2"/>
        <v/>
      </c>
    </row>
    <row r="182" spans="12:12" x14ac:dyDescent="0.3">
      <c r="L182" s="32" t="str">
        <f t="shared" si="2"/>
        <v/>
      </c>
    </row>
    <row r="183" spans="12:12" x14ac:dyDescent="0.3">
      <c r="L183" s="32" t="str">
        <f t="shared" si="2"/>
        <v/>
      </c>
    </row>
    <row r="184" spans="12:12" x14ac:dyDescent="0.3">
      <c r="L184" s="32" t="str">
        <f t="shared" si="2"/>
        <v/>
      </c>
    </row>
    <row r="185" spans="12:12" x14ac:dyDescent="0.3">
      <c r="L185" s="32" t="str">
        <f t="shared" si="2"/>
        <v/>
      </c>
    </row>
    <row r="186" spans="12:12" x14ac:dyDescent="0.3">
      <c r="L186" s="32" t="str">
        <f t="shared" si="2"/>
        <v/>
      </c>
    </row>
    <row r="187" spans="12:12" x14ac:dyDescent="0.3">
      <c r="L187" s="32" t="str">
        <f t="shared" si="2"/>
        <v/>
      </c>
    </row>
    <row r="188" spans="12:12" x14ac:dyDescent="0.3">
      <c r="L188" s="32" t="str">
        <f t="shared" si="2"/>
        <v/>
      </c>
    </row>
    <row r="189" spans="12:12" x14ac:dyDescent="0.3">
      <c r="L189" s="32" t="str">
        <f t="shared" si="2"/>
        <v/>
      </c>
    </row>
    <row r="190" spans="12:12" x14ac:dyDescent="0.3">
      <c r="L190" s="32" t="str">
        <f t="shared" si="2"/>
        <v/>
      </c>
    </row>
    <row r="191" spans="12:12" x14ac:dyDescent="0.3">
      <c r="L191" s="32" t="str">
        <f t="shared" si="2"/>
        <v/>
      </c>
    </row>
    <row r="192" spans="12:12" x14ac:dyDescent="0.3">
      <c r="L192" s="32" t="str">
        <f t="shared" si="2"/>
        <v/>
      </c>
    </row>
    <row r="193" spans="12:12" x14ac:dyDescent="0.3">
      <c r="L193" s="32" t="str">
        <f t="shared" si="2"/>
        <v/>
      </c>
    </row>
    <row r="194" spans="12:12" x14ac:dyDescent="0.3">
      <c r="L194" s="32" t="str">
        <f t="shared" si="2"/>
        <v/>
      </c>
    </row>
    <row r="195" spans="12:12" x14ac:dyDescent="0.3">
      <c r="L195" s="32" t="str">
        <f t="shared" si="2"/>
        <v/>
      </c>
    </row>
    <row r="196" spans="12:12" x14ac:dyDescent="0.3">
      <c r="L196" s="32" t="str">
        <f t="shared" si="2"/>
        <v/>
      </c>
    </row>
    <row r="197" spans="12:12" x14ac:dyDescent="0.3">
      <c r="L197" s="32" t="str">
        <f t="shared" si="2"/>
        <v/>
      </c>
    </row>
    <row r="198" spans="12:12" x14ac:dyDescent="0.3">
      <c r="L198" s="32" t="str">
        <f t="shared" si="2"/>
        <v/>
      </c>
    </row>
    <row r="199" spans="12:12" x14ac:dyDescent="0.3">
      <c r="L199" s="32" t="str">
        <f t="shared" si="2"/>
        <v/>
      </c>
    </row>
    <row r="200" spans="12:12" x14ac:dyDescent="0.3">
      <c r="L200" s="32" t="str">
        <f t="shared" si="2"/>
        <v/>
      </c>
    </row>
    <row r="201" spans="12:12" x14ac:dyDescent="0.3">
      <c r="L201" s="32" t="str">
        <f t="shared" si="2"/>
        <v/>
      </c>
    </row>
    <row r="202" spans="12:12" x14ac:dyDescent="0.3">
      <c r="L202" s="32" t="str">
        <f t="shared" si="2"/>
        <v/>
      </c>
    </row>
    <row r="203" spans="12:12" x14ac:dyDescent="0.3">
      <c r="L203" s="32" t="str">
        <f t="shared" si="2"/>
        <v/>
      </c>
    </row>
    <row r="204" spans="12:12" x14ac:dyDescent="0.3">
      <c r="L204" s="32" t="str">
        <f t="shared" si="2"/>
        <v/>
      </c>
    </row>
    <row r="205" spans="12:12" x14ac:dyDescent="0.3">
      <c r="L205" s="32" t="str">
        <f t="shared" si="2"/>
        <v/>
      </c>
    </row>
    <row r="206" spans="12:12" x14ac:dyDescent="0.3">
      <c r="L206" s="32" t="str">
        <f t="shared" si="2"/>
        <v/>
      </c>
    </row>
    <row r="207" spans="12:12" x14ac:dyDescent="0.3">
      <c r="L207" s="32" t="str">
        <f t="shared" ref="L207:L270" si="3">LEFT(E207,12)</f>
        <v/>
      </c>
    </row>
    <row r="208" spans="12:12" x14ac:dyDescent="0.3">
      <c r="L208" s="32" t="str">
        <f t="shared" si="3"/>
        <v/>
      </c>
    </row>
    <row r="209" spans="12:12" x14ac:dyDescent="0.3">
      <c r="L209" s="32" t="str">
        <f t="shared" si="3"/>
        <v/>
      </c>
    </row>
    <row r="210" spans="12:12" x14ac:dyDescent="0.3">
      <c r="L210" s="32" t="str">
        <f t="shared" si="3"/>
        <v/>
      </c>
    </row>
    <row r="211" spans="12:12" x14ac:dyDescent="0.3">
      <c r="L211" s="32" t="str">
        <f t="shared" si="3"/>
        <v/>
      </c>
    </row>
    <row r="212" spans="12:12" x14ac:dyDescent="0.3">
      <c r="L212" s="32" t="str">
        <f t="shared" si="3"/>
        <v/>
      </c>
    </row>
    <row r="213" spans="12:12" x14ac:dyDescent="0.3">
      <c r="L213" s="32" t="str">
        <f t="shared" si="3"/>
        <v/>
      </c>
    </row>
    <row r="214" spans="12:12" x14ac:dyDescent="0.3">
      <c r="L214" s="32" t="str">
        <f t="shared" si="3"/>
        <v/>
      </c>
    </row>
    <row r="215" spans="12:12" x14ac:dyDescent="0.3">
      <c r="L215" s="32" t="str">
        <f t="shared" si="3"/>
        <v/>
      </c>
    </row>
    <row r="216" spans="12:12" x14ac:dyDescent="0.3">
      <c r="L216" s="32" t="str">
        <f t="shared" si="3"/>
        <v/>
      </c>
    </row>
    <row r="217" spans="12:12" x14ac:dyDescent="0.3">
      <c r="L217" s="32" t="str">
        <f t="shared" si="3"/>
        <v/>
      </c>
    </row>
    <row r="218" spans="12:12" x14ac:dyDescent="0.3">
      <c r="L218" s="32" t="str">
        <f t="shared" si="3"/>
        <v/>
      </c>
    </row>
    <row r="219" spans="12:12" x14ac:dyDescent="0.3">
      <c r="L219" s="32" t="str">
        <f t="shared" si="3"/>
        <v/>
      </c>
    </row>
    <row r="220" spans="12:12" x14ac:dyDescent="0.3">
      <c r="L220" s="32" t="str">
        <f t="shared" si="3"/>
        <v/>
      </c>
    </row>
    <row r="221" spans="12:12" x14ac:dyDescent="0.3">
      <c r="L221" s="32" t="str">
        <f t="shared" si="3"/>
        <v/>
      </c>
    </row>
    <row r="222" spans="12:12" x14ac:dyDescent="0.3">
      <c r="L222" s="32" t="str">
        <f t="shared" si="3"/>
        <v/>
      </c>
    </row>
    <row r="223" spans="12:12" x14ac:dyDescent="0.3">
      <c r="L223" s="32" t="str">
        <f t="shared" si="3"/>
        <v/>
      </c>
    </row>
    <row r="224" spans="12:12" x14ac:dyDescent="0.3">
      <c r="L224" s="32" t="str">
        <f t="shared" si="3"/>
        <v/>
      </c>
    </row>
    <row r="225" spans="12:12" x14ac:dyDescent="0.3">
      <c r="L225" s="32" t="str">
        <f t="shared" si="3"/>
        <v/>
      </c>
    </row>
    <row r="226" spans="12:12" x14ac:dyDescent="0.3">
      <c r="L226" s="32" t="str">
        <f t="shared" si="3"/>
        <v/>
      </c>
    </row>
    <row r="227" spans="12:12" x14ac:dyDescent="0.3">
      <c r="L227" s="32" t="str">
        <f t="shared" si="3"/>
        <v/>
      </c>
    </row>
    <row r="228" spans="12:12" x14ac:dyDescent="0.3">
      <c r="L228" s="32" t="str">
        <f t="shared" si="3"/>
        <v/>
      </c>
    </row>
    <row r="229" spans="12:12" x14ac:dyDescent="0.3">
      <c r="L229" s="32" t="str">
        <f t="shared" si="3"/>
        <v/>
      </c>
    </row>
    <row r="230" spans="12:12" x14ac:dyDescent="0.3">
      <c r="L230" s="32" t="str">
        <f t="shared" si="3"/>
        <v/>
      </c>
    </row>
    <row r="231" spans="12:12" x14ac:dyDescent="0.3">
      <c r="L231" s="32" t="str">
        <f t="shared" si="3"/>
        <v/>
      </c>
    </row>
    <row r="232" spans="12:12" x14ac:dyDescent="0.3">
      <c r="L232" s="32" t="str">
        <f t="shared" si="3"/>
        <v/>
      </c>
    </row>
    <row r="233" spans="12:12" x14ac:dyDescent="0.3">
      <c r="L233" s="32" t="str">
        <f t="shared" si="3"/>
        <v/>
      </c>
    </row>
    <row r="234" spans="12:12" x14ac:dyDescent="0.3">
      <c r="L234" s="32" t="str">
        <f t="shared" si="3"/>
        <v/>
      </c>
    </row>
    <row r="235" spans="12:12" x14ac:dyDescent="0.3">
      <c r="L235" s="32" t="str">
        <f t="shared" si="3"/>
        <v/>
      </c>
    </row>
    <row r="236" spans="12:12" x14ac:dyDescent="0.3">
      <c r="L236" s="32" t="str">
        <f t="shared" si="3"/>
        <v/>
      </c>
    </row>
    <row r="237" spans="12:12" x14ac:dyDescent="0.3">
      <c r="L237" s="32" t="str">
        <f t="shared" si="3"/>
        <v/>
      </c>
    </row>
    <row r="238" spans="12:12" x14ac:dyDescent="0.3">
      <c r="L238" s="32" t="str">
        <f t="shared" si="3"/>
        <v/>
      </c>
    </row>
    <row r="239" spans="12:12" x14ac:dyDescent="0.3">
      <c r="L239" s="32" t="str">
        <f t="shared" si="3"/>
        <v/>
      </c>
    </row>
    <row r="240" spans="12:12" x14ac:dyDescent="0.3">
      <c r="L240" s="32" t="str">
        <f t="shared" si="3"/>
        <v/>
      </c>
    </row>
    <row r="241" spans="12:12" x14ac:dyDescent="0.3">
      <c r="L241" s="32" t="str">
        <f t="shared" si="3"/>
        <v/>
      </c>
    </row>
    <row r="242" spans="12:12" x14ac:dyDescent="0.3">
      <c r="L242" s="32" t="str">
        <f t="shared" si="3"/>
        <v/>
      </c>
    </row>
    <row r="243" spans="12:12" x14ac:dyDescent="0.3">
      <c r="L243" s="32" t="str">
        <f t="shared" si="3"/>
        <v/>
      </c>
    </row>
    <row r="244" spans="12:12" x14ac:dyDescent="0.3">
      <c r="L244" s="32" t="str">
        <f t="shared" si="3"/>
        <v/>
      </c>
    </row>
    <row r="245" spans="12:12" x14ac:dyDescent="0.3">
      <c r="L245" s="32" t="str">
        <f t="shared" si="3"/>
        <v/>
      </c>
    </row>
    <row r="246" spans="12:12" x14ac:dyDescent="0.3">
      <c r="L246" s="32" t="str">
        <f t="shared" si="3"/>
        <v/>
      </c>
    </row>
    <row r="247" spans="12:12" x14ac:dyDescent="0.3">
      <c r="L247" s="32" t="str">
        <f t="shared" si="3"/>
        <v/>
      </c>
    </row>
    <row r="248" spans="12:12" x14ac:dyDescent="0.3">
      <c r="L248" s="32" t="str">
        <f t="shared" si="3"/>
        <v/>
      </c>
    </row>
    <row r="249" spans="12:12" x14ac:dyDescent="0.3">
      <c r="L249" s="32" t="str">
        <f t="shared" si="3"/>
        <v/>
      </c>
    </row>
    <row r="250" spans="12:12" x14ac:dyDescent="0.3">
      <c r="L250" s="32" t="str">
        <f t="shared" si="3"/>
        <v/>
      </c>
    </row>
    <row r="251" spans="12:12" x14ac:dyDescent="0.3">
      <c r="L251" s="32" t="str">
        <f t="shared" si="3"/>
        <v/>
      </c>
    </row>
    <row r="252" spans="12:12" x14ac:dyDescent="0.3">
      <c r="L252" s="32" t="str">
        <f t="shared" si="3"/>
        <v/>
      </c>
    </row>
    <row r="253" spans="12:12" x14ac:dyDescent="0.3">
      <c r="L253" s="32" t="str">
        <f t="shared" si="3"/>
        <v/>
      </c>
    </row>
    <row r="254" spans="12:12" x14ac:dyDescent="0.3">
      <c r="L254" s="32" t="str">
        <f t="shared" si="3"/>
        <v/>
      </c>
    </row>
    <row r="255" spans="12:12" x14ac:dyDescent="0.3">
      <c r="L255" s="32" t="str">
        <f t="shared" si="3"/>
        <v/>
      </c>
    </row>
    <row r="256" spans="12:12" x14ac:dyDescent="0.3">
      <c r="L256" s="32" t="str">
        <f t="shared" si="3"/>
        <v/>
      </c>
    </row>
    <row r="257" spans="12:12" x14ac:dyDescent="0.3">
      <c r="L257" s="32" t="str">
        <f t="shared" si="3"/>
        <v/>
      </c>
    </row>
    <row r="258" spans="12:12" x14ac:dyDescent="0.3">
      <c r="L258" s="32" t="str">
        <f t="shared" si="3"/>
        <v/>
      </c>
    </row>
    <row r="259" spans="12:12" x14ac:dyDescent="0.3">
      <c r="L259" s="32" t="str">
        <f t="shared" si="3"/>
        <v/>
      </c>
    </row>
    <row r="260" spans="12:12" x14ac:dyDescent="0.3">
      <c r="L260" s="32" t="str">
        <f t="shared" si="3"/>
        <v/>
      </c>
    </row>
    <row r="261" spans="12:12" x14ac:dyDescent="0.3">
      <c r="L261" s="32" t="str">
        <f t="shared" si="3"/>
        <v/>
      </c>
    </row>
    <row r="262" spans="12:12" x14ac:dyDescent="0.3">
      <c r="L262" s="32" t="str">
        <f t="shared" si="3"/>
        <v/>
      </c>
    </row>
    <row r="263" spans="12:12" x14ac:dyDescent="0.3">
      <c r="L263" s="32" t="str">
        <f t="shared" si="3"/>
        <v/>
      </c>
    </row>
    <row r="264" spans="12:12" x14ac:dyDescent="0.3">
      <c r="L264" s="32" t="str">
        <f t="shared" si="3"/>
        <v/>
      </c>
    </row>
    <row r="265" spans="12:12" x14ac:dyDescent="0.3">
      <c r="L265" s="32" t="str">
        <f t="shared" si="3"/>
        <v/>
      </c>
    </row>
    <row r="266" spans="12:12" x14ac:dyDescent="0.3">
      <c r="L266" s="32" t="str">
        <f t="shared" si="3"/>
        <v/>
      </c>
    </row>
    <row r="267" spans="12:12" x14ac:dyDescent="0.3">
      <c r="L267" s="32" t="str">
        <f t="shared" si="3"/>
        <v/>
      </c>
    </row>
    <row r="268" spans="12:12" x14ac:dyDescent="0.3">
      <c r="L268" s="32" t="str">
        <f t="shared" si="3"/>
        <v/>
      </c>
    </row>
    <row r="269" spans="12:12" x14ac:dyDescent="0.3">
      <c r="L269" s="32" t="str">
        <f t="shared" si="3"/>
        <v/>
      </c>
    </row>
    <row r="270" spans="12:12" x14ac:dyDescent="0.3">
      <c r="L270" s="32" t="str">
        <f t="shared" si="3"/>
        <v/>
      </c>
    </row>
    <row r="271" spans="12:12" x14ac:dyDescent="0.3">
      <c r="L271" s="32" t="str">
        <f t="shared" ref="L271:L334" si="4">LEFT(E271,12)</f>
        <v/>
      </c>
    </row>
    <row r="272" spans="12:12" x14ac:dyDescent="0.3">
      <c r="L272" s="32" t="str">
        <f t="shared" si="4"/>
        <v/>
      </c>
    </row>
    <row r="273" spans="12:12" x14ac:dyDescent="0.3">
      <c r="L273" s="32" t="str">
        <f t="shared" si="4"/>
        <v/>
      </c>
    </row>
    <row r="274" spans="12:12" x14ac:dyDescent="0.3">
      <c r="L274" s="32" t="str">
        <f t="shared" si="4"/>
        <v/>
      </c>
    </row>
    <row r="275" spans="12:12" x14ac:dyDescent="0.3">
      <c r="L275" s="32" t="str">
        <f t="shared" si="4"/>
        <v/>
      </c>
    </row>
    <row r="276" spans="12:12" x14ac:dyDescent="0.3">
      <c r="L276" s="32" t="str">
        <f t="shared" si="4"/>
        <v/>
      </c>
    </row>
    <row r="277" spans="12:12" x14ac:dyDescent="0.3">
      <c r="L277" s="32" t="str">
        <f t="shared" si="4"/>
        <v/>
      </c>
    </row>
    <row r="278" spans="12:12" x14ac:dyDescent="0.3">
      <c r="L278" s="32" t="str">
        <f t="shared" si="4"/>
        <v/>
      </c>
    </row>
    <row r="279" spans="12:12" x14ac:dyDescent="0.3">
      <c r="L279" s="32" t="str">
        <f t="shared" si="4"/>
        <v/>
      </c>
    </row>
    <row r="280" spans="12:12" x14ac:dyDescent="0.3">
      <c r="L280" s="32" t="str">
        <f t="shared" si="4"/>
        <v/>
      </c>
    </row>
    <row r="281" spans="12:12" x14ac:dyDescent="0.3">
      <c r="L281" s="32" t="str">
        <f t="shared" si="4"/>
        <v/>
      </c>
    </row>
    <row r="282" spans="12:12" x14ac:dyDescent="0.3">
      <c r="L282" s="32" t="str">
        <f t="shared" si="4"/>
        <v/>
      </c>
    </row>
    <row r="283" spans="12:12" x14ac:dyDescent="0.3">
      <c r="L283" s="32" t="str">
        <f t="shared" si="4"/>
        <v/>
      </c>
    </row>
    <row r="284" spans="12:12" x14ac:dyDescent="0.3">
      <c r="L284" s="32" t="str">
        <f t="shared" si="4"/>
        <v/>
      </c>
    </row>
    <row r="285" spans="12:12" x14ac:dyDescent="0.3">
      <c r="L285" s="32" t="str">
        <f t="shared" si="4"/>
        <v/>
      </c>
    </row>
    <row r="286" spans="12:12" x14ac:dyDescent="0.3">
      <c r="L286" s="32" t="str">
        <f t="shared" si="4"/>
        <v/>
      </c>
    </row>
    <row r="287" spans="12:12" x14ac:dyDescent="0.3">
      <c r="L287" s="32" t="str">
        <f t="shared" si="4"/>
        <v/>
      </c>
    </row>
    <row r="288" spans="12:12" x14ac:dyDescent="0.3">
      <c r="L288" s="32" t="str">
        <f t="shared" si="4"/>
        <v/>
      </c>
    </row>
    <row r="289" spans="12:12" x14ac:dyDescent="0.3">
      <c r="L289" s="32" t="str">
        <f t="shared" si="4"/>
        <v/>
      </c>
    </row>
    <row r="290" spans="12:12" x14ac:dyDescent="0.3">
      <c r="L290" s="32" t="str">
        <f t="shared" si="4"/>
        <v/>
      </c>
    </row>
    <row r="291" spans="12:12" x14ac:dyDescent="0.3">
      <c r="L291" s="32" t="str">
        <f t="shared" si="4"/>
        <v/>
      </c>
    </row>
    <row r="292" spans="12:12" x14ac:dyDescent="0.3">
      <c r="L292" s="32" t="str">
        <f t="shared" si="4"/>
        <v/>
      </c>
    </row>
    <row r="293" spans="12:12" x14ac:dyDescent="0.3">
      <c r="L293" s="32" t="str">
        <f t="shared" si="4"/>
        <v/>
      </c>
    </row>
    <row r="294" spans="12:12" x14ac:dyDescent="0.3">
      <c r="L294" s="32" t="str">
        <f t="shared" si="4"/>
        <v/>
      </c>
    </row>
    <row r="295" spans="12:12" x14ac:dyDescent="0.3">
      <c r="L295" s="32" t="str">
        <f t="shared" si="4"/>
        <v/>
      </c>
    </row>
    <row r="296" spans="12:12" x14ac:dyDescent="0.3">
      <c r="L296" s="32" t="str">
        <f t="shared" si="4"/>
        <v/>
      </c>
    </row>
    <row r="297" spans="12:12" x14ac:dyDescent="0.3">
      <c r="L297" s="32" t="str">
        <f t="shared" si="4"/>
        <v/>
      </c>
    </row>
    <row r="298" spans="12:12" x14ac:dyDescent="0.3">
      <c r="L298" s="32" t="str">
        <f t="shared" si="4"/>
        <v/>
      </c>
    </row>
    <row r="299" spans="12:12" x14ac:dyDescent="0.3">
      <c r="L299" s="32" t="str">
        <f t="shared" si="4"/>
        <v/>
      </c>
    </row>
    <row r="300" spans="12:12" x14ac:dyDescent="0.3">
      <c r="L300" s="32" t="str">
        <f t="shared" si="4"/>
        <v/>
      </c>
    </row>
    <row r="301" spans="12:12" x14ac:dyDescent="0.3">
      <c r="L301" s="32" t="str">
        <f t="shared" si="4"/>
        <v/>
      </c>
    </row>
    <row r="302" spans="12:12" x14ac:dyDescent="0.3">
      <c r="L302" s="32" t="str">
        <f t="shared" si="4"/>
        <v/>
      </c>
    </row>
    <row r="303" spans="12:12" x14ac:dyDescent="0.3">
      <c r="L303" s="32" t="str">
        <f t="shared" si="4"/>
        <v/>
      </c>
    </row>
    <row r="304" spans="12:12" x14ac:dyDescent="0.3">
      <c r="L304" s="32" t="str">
        <f t="shared" si="4"/>
        <v/>
      </c>
    </row>
    <row r="305" spans="12:12" x14ac:dyDescent="0.3">
      <c r="L305" s="32" t="str">
        <f t="shared" si="4"/>
        <v/>
      </c>
    </row>
    <row r="306" spans="12:12" x14ac:dyDescent="0.3">
      <c r="L306" s="32" t="str">
        <f t="shared" si="4"/>
        <v/>
      </c>
    </row>
    <row r="307" spans="12:12" x14ac:dyDescent="0.3">
      <c r="L307" s="32" t="str">
        <f t="shared" si="4"/>
        <v/>
      </c>
    </row>
    <row r="308" spans="12:12" x14ac:dyDescent="0.3">
      <c r="L308" s="32" t="str">
        <f t="shared" si="4"/>
        <v/>
      </c>
    </row>
    <row r="309" spans="12:12" x14ac:dyDescent="0.3">
      <c r="L309" s="32" t="str">
        <f t="shared" si="4"/>
        <v/>
      </c>
    </row>
    <row r="310" spans="12:12" x14ac:dyDescent="0.3">
      <c r="L310" s="32" t="str">
        <f t="shared" si="4"/>
        <v/>
      </c>
    </row>
    <row r="311" spans="12:12" x14ac:dyDescent="0.3">
      <c r="L311" s="32" t="str">
        <f t="shared" si="4"/>
        <v/>
      </c>
    </row>
    <row r="312" spans="12:12" x14ac:dyDescent="0.3">
      <c r="L312" s="32" t="str">
        <f t="shared" si="4"/>
        <v/>
      </c>
    </row>
    <row r="313" spans="12:12" x14ac:dyDescent="0.3">
      <c r="L313" s="32" t="str">
        <f t="shared" si="4"/>
        <v/>
      </c>
    </row>
    <row r="314" spans="12:12" x14ac:dyDescent="0.3">
      <c r="L314" s="32" t="str">
        <f t="shared" si="4"/>
        <v/>
      </c>
    </row>
    <row r="315" spans="12:12" x14ac:dyDescent="0.3">
      <c r="L315" s="32" t="str">
        <f t="shared" si="4"/>
        <v/>
      </c>
    </row>
    <row r="316" spans="12:12" x14ac:dyDescent="0.3">
      <c r="L316" s="32" t="str">
        <f t="shared" si="4"/>
        <v/>
      </c>
    </row>
    <row r="317" spans="12:12" x14ac:dyDescent="0.3">
      <c r="L317" s="32" t="str">
        <f t="shared" si="4"/>
        <v/>
      </c>
    </row>
    <row r="318" spans="12:12" x14ac:dyDescent="0.3">
      <c r="L318" s="32" t="str">
        <f t="shared" si="4"/>
        <v/>
      </c>
    </row>
    <row r="319" spans="12:12" x14ac:dyDescent="0.3">
      <c r="L319" s="32" t="str">
        <f t="shared" si="4"/>
        <v/>
      </c>
    </row>
    <row r="320" spans="12:12" x14ac:dyDescent="0.3">
      <c r="L320" s="32" t="str">
        <f t="shared" si="4"/>
        <v/>
      </c>
    </row>
    <row r="321" spans="12:12" x14ac:dyDescent="0.3">
      <c r="L321" s="32" t="str">
        <f t="shared" si="4"/>
        <v/>
      </c>
    </row>
    <row r="322" spans="12:12" x14ac:dyDescent="0.3">
      <c r="L322" s="32" t="str">
        <f t="shared" si="4"/>
        <v/>
      </c>
    </row>
    <row r="323" spans="12:12" x14ac:dyDescent="0.3">
      <c r="L323" s="32" t="str">
        <f t="shared" si="4"/>
        <v/>
      </c>
    </row>
    <row r="324" spans="12:12" x14ac:dyDescent="0.3">
      <c r="L324" s="32" t="str">
        <f t="shared" si="4"/>
        <v/>
      </c>
    </row>
    <row r="325" spans="12:12" x14ac:dyDescent="0.3">
      <c r="L325" s="32" t="str">
        <f t="shared" si="4"/>
        <v/>
      </c>
    </row>
    <row r="326" spans="12:12" x14ac:dyDescent="0.3">
      <c r="L326" s="32" t="str">
        <f t="shared" si="4"/>
        <v/>
      </c>
    </row>
    <row r="327" spans="12:12" x14ac:dyDescent="0.3">
      <c r="L327" s="32" t="str">
        <f t="shared" si="4"/>
        <v/>
      </c>
    </row>
    <row r="328" spans="12:12" x14ac:dyDescent="0.3">
      <c r="L328" s="32" t="str">
        <f t="shared" si="4"/>
        <v/>
      </c>
    </row>
    <row r="329" spans="12:12" x14ac:dyDescent="0.3">
      <c r="L329" s="32" t="str">
        <f t="shared" si="4"/>
        <v/>
      </c>
    </row>
    <row r="330" spans="12:12" x14ac:dyDescent="0.3">
      <c r="L330" s="32" t="str">
        <f t="shared" si="4"/>
        <v/>
      </c>
    </row>
    <row r="331" spans="12:12" x14ac:dyDescent="0.3">
      <c r="L331" s="32" t="str">
        <f t="shared" si="4"/>
        <v/>
      </c>
    </row>
    <row r="332" spans="12:12" x14ac:dyDescent="0.3">
      <c r="L332" s="32" t="str">
        <f t="shared" si="4"/>
        <v/>
      </c>
    </row>
    <row r="333" spans="12:12" x14ac:dyDescent="0.3">
      <c r="L333" s="32" t="str">
        <f t="shared" si="4"/>
        <v/>
      </c>
    </row>
    <row r="334" spans="12:12" x14ac:dyDescent="0.3">
      <c r="L334" s="32" t="str">
        <f t="shared" si="4"/>
        <v/>
      </c>
    </row>
    <row r="335" spans="12:12" x14ac:dyDescent="0.3">
      <c r="L335" s="32" t="str">
        <f t="shared" ref="L335:L398" si="5">LEFT(E335,12)</f>
        <v/>
      </c>
    </row>
    <row r="336" spans="12:12" x14ac:dyDescent="0.3">
      <c r="L336" s="32" t="str">
        <f t="shared" si="5"/>
        <v/>
      </c>
    </row>
    <row r="337" spans="12:12" x14ac:dyDescent="0.3">
      <c r="L337" s="32" t="str">
        <f t="shared" si="5"/>
        <v/>
      </c>
    </row>
    <row r="338" spans="12:12" x14ac:dyDescent="0.3">
      <c r="L338" s="32" t="str">
        <f t="shared" si="5"/>
        <v/>
      </c>
    </row>
    <row r="339" spans="12:12" x14ac:dyDescent="0.3">
      <c r="L339" s="32" t="str">
        <f t="shared" si="5"/>
        <v/>
      </c>
    </row>
    <row r="340" spans="12:12" x14ac:dyDescent="0.3">
      <c r="L340" s="32" t="str">
        <f t="shared" si="5"/>
        <v/>
      </c>
    </row>
    <row r="341" spans="12:12" x14ac:dyDescent="0.3">
      <c r="L341" s="32" t="str">
        <f t="shared" si="5"/>
        <v/>
      </c>
    </row>
    <row r="342" spans="12:12" x14ac:dyDescent="0.3">
      <c r="L342" s="32" t="str">
        <f t="shared" si="5"/>
        <v/>
      </c>
    </row>
    <row r="343" spans="12:12" x14ac:dyDescent="0.3">
      <c r="L343" s="32" t="str">
        <f t="shared" si="5"/>
        <v/>
      </c>
    </row>
    <row r="344" spans="12:12" x14ac:dyDescent="0.3">
      <c r="L344" s="32" t="str">
        <f t="shared" si="5"/>
        <v/>
      </c>
    </row>
    <row r="345" spans="12:12" x14ac:dyDescent="0.3">
      <c r="L345" s="32" t="str">
        <f t="shared" si="5"/>
        <v/>
      </c>
    </row>
    <row r="346" spans="12:12" x14ac:dyDescent="0.3">
      <c r="L346" s="32" t="str">
        <f t="shared" si="5"/>
        <v/>
      </c>
    </row>
    <row r="347" spans="12:12" x14ac:dyDescent="0.3">
      <c r="L347" s="32" t="str">
        <f t="shared" si="5"/>
        <v/>
      </c>
    </row>
    <row r="348" spans="12:12" x14ac:dyDescent="0.3">
      <c r="L348" s="32" t="str">
        <f t="shared" si="5"/>
        <v/>
      </c>
    </row>
    <row r="349" spans="12:12" x14ac:dyDescent="0.3">
      <c r="L349" s="32" t="str">
        <f t="shared" si="5"/>
        <v/>
      </c>
    </row>
    <row r="350" spans="12:12" x14ac:dyDescent="0.3">
      <c r="L350" s="32" t="str">
        <f t="shared" si="5"/>
        <v/>
      </c>
    </row>
    <row r="351" spans="12:12" x14ac:dyDescent="0.3">
      <c r="L351" s="32" t="str">
        <f t="shared" si="5"/>
        <v/>
      </c>
    </row>
    <row r="352" spans="12:12" x14ac:dyDescent="0.3">
      <c r="L352" s="32" t="str">
        <f t="shared" si="5"/>
        <v/>
      </c>
    </row>
    <row r="353" spans="12:12" x14ac:dyDescent="0.3">
      <c r="L353" s="32" t="str">
        <f t="shared" si="5"/>
        <v/>
      </c>
    </row>
    <row r="354" spans="12:12" x14ac:dyDescent="0.3">
      <c r="L354" s="32" t="str">
        <f t="shared" si="5"/>
        <v/>
      </c>
    </row>
    <row r="355" spans="12:12" x14ac:dyDescent="0.3">
      <c r="L355" s="32" t="str">
        <f t="shared" si="5"/>
        <v/>
      </c>
    </row>
    <row r="356" spans="12:12" x14ac:dyDescent="0.3">
      <c r="L356" s="32" t="str">
        <f t="shared" si="5"/>
        <v/>
      </c>
    </row>
    <row r="357" spans="12:12" x14ac:dyDescent="0.3">
      <c r="L357" s="32" t="str">
        <f t="shared" si="5"/>
        <v/>
      </c>
    </row>
    <row r="358" spans="12:12" x14ac:dyDescent="0.3">
      <c r="L358" s="32" t="str">
        <f t="shared" si="5"/>
        <v/>
      </c>
    </row>
    <row r="359" spans="12:12" x14ac:dyDescent="0.3">
      <c r="L359" s="32" t="str">
        <f t="shared" si="5"/>
        <v/>
      </c>
    </row>
    <row r="360" spans="12:12" x14ac:dyDescent="0.3">
      <c r="L360" s="32" t="str">
        <f t="shared" si="5"/>
        <v/>
      </c>
    </row>
    <row r="361" spans="12:12" x14ac:dyDescent="0.3">
      <c r="L361" s="32" t="str">
        <f t="shared" si="5"/>
        <v/>
      </c>
    </row>
    <row r="362" spans="12:12" x14ac:dyDescent="0.3">
      <c r="L362" s="32" t="str">
        <f t="shared" si="5"/>
        <v/>
      </c>
    </row>
    <row r="363" spans="12:12" x14ac:dyDescent="0.3">
      <c r="L363" s="32" t="str">
        <f t="shared" si="5"/>
        <v/>
      </c>
    </row>
    <row r="364" spans="12:12" x14ac:dyDescent="0.3">
      <c r="L364" s="32" t="str">
        <f t="shared" si="5"/>
        <v/>
      </c>
    </row>
    <row r="365" spans="12:12" x14ac:dyDescent="0.3">
      <c r="L365" s="32" t="str">
        <f t="shared" si="5"/>
        <v/>
      </c>
    </row>
    <row r="366" spans="12:12" x14ac:dyDescent="0.3">
      <c r="L366" s="32" t="str">
        <f t="shared" si="5"/>
        <v/>
      </c>
    </row>
    <row r="367" spans="12:12" x14ac:dyDescent="0.3">
      <c r="L367" s="32" t="str">
        <f t="shared" si="5"/>
        <v/>
      </c>
    </row>
    <row r="368" spans="12:12" x14ac:dyDescent="0.3">
      <c r="L368" s="32" t="str">
        <f t="shared" si="5"/>
        <v/>
      </c>
    </row>
    <row r="369" spans="12:12" x14ac:dyDescent="0.3">
      <c r="L369" s="32" t="str">
        <f t="shared" si="5"/>
        <v/>
      </c>
    </row>
    <row r="370" spans="12:12" x14ac:dyDescent="0.3">
      <c r="L370" s="32" t="str">
        <f t="shared" si="5"/>
        <v/>
      </c>
    </row>
    <row r="371" spans="12:12" x14ac:dyDescent="0.3">
      <c r="L371" s="32" t="str">
        <f t="shared" si="5"/>
        <v/>
      </c>
    </row>
    <row r="372" spans="12:12" x14ac:dyDescent="0.3">
      <c r="L372" s="32" t="str">
        <f t="shared" si="5"/>
        <v/>
      </c>
    </row>
    <row r="373" spans="12:12" x14ac:dyDescent="0.3">
      <c r="L373" s="32" t="str">
        <f t="shared" si="5"/>
        <v/>
      </c>
    </row>
    <row r="374" spans="12:12" x14ac:dyDescent="0.3">
      <c r="L374" s="32" t="str">
        <f t="shared" si="5"/>
        <v/>
      </c>
    </row>
    <row r="375" spans="12:12" x14ac:dyDescent="0.3">
      <c r="L375" s="32" t="str">
        <f t="shared" si="5"/>
        <v/>
      </c>
    </row>
    <row r="376" spans="12:12" x14ac:dyDescent="0.3">
      <c r="L376" s="32" t="str">
        <f t="shared" si="5"/>
        <v/>
      </c>
    </row>
    <row r="377" spans="12:12" x14ac:dyDescent="0.3">
      <c r="L377" s="32" t="str">
        <f t="shared" si="5"/>
        <v/>
      </c>
    </row>
    <row r="378" spans="12:12" x14ac:dyDescent="0.3">
      <c r="L378" s="32" t="str">
        <f t="shared" si="5"/>
        <v/>
      </c>
    </row>
    <row r="379" spans="12:12" x14ac:dyDescent="0.3">
      <c r="L379" s="32" t="str">
        <f t="shared" si="5"/>
        <v/>
      </c>
    </row>
    <row r="380" spans="12:12" x14ac:dyDescent="0.3">
      <c r="L380" s="32" t="str">
        <f t="shared" si="5"/>
        <v/>
      </c>
    </row>
    <row r="381" spans="12:12" x14ac:dyDescent="0.3">
      <c r="L381" s="32" t="str">
        <f t="shared" si="5"/>
        <v/>
      </c>
    </row>
    <row r="382" spans="12:12" x14ac:dyDescent="0.3">
      <c r="L382" s="32" t="str">
        <f t="shared" si="5"/>
        <v/>
      </c>
    </row>
    <row r="383" spans="12:12" x14ac:dyDescent="0.3">
      <c r="L383" s="32" t="str">
        <f t="shared" si="5"/>
        <v/>
      </c>
    </row>
    <row r="384" spans="12:12" x14ac:dyDescent="0.3">
      <c r="L384" s="32" t="str">
        <f t="shared" si="5"/>
        <v/>
      </c>
    </row>
    <row r="385" spans="12:12" x14ac:dyDescent="0.3">
      <c r="L385" s="32" t="str">
        <f t="shared" si="5"/>
        <v/>
      </c>
    </row>
    <row r="386" spans="12:12" x14ac:dyDescent="0.3">
      <c r="L386" s="32" t="str">
        <f t="shared" si="5"/>
        <v/>
      </c>
    </row>
    <row r="387" spans="12:12" x14ac:dyDescent="0.3">
      <c r="L387" s="32" t="str">
        <f t="shared" si="5"/>
        <v/>
      </c>
    </row>
    <row r="388" spans="12:12" x14ac:dyDescent="0.3">
      <c r="L388" s="32" t="str">
        <f t="shared" si="5"/>
        <v/>
      </c>
    </row>
    <row r="389" spans="12:12" x14ac:dyDescent="0.3">
      <c r="L389" s="32" t="str">
        <f t="shared" si="5"/>
        <v/>
      </c>
    </row>
    <row r="390" spans="12:12" x14ac:dyDescent="0.3">
      <c r="L390" s="32" t="str">
        <f t="shared" si="5"/>
        <v/>
      </c>
    </row>
    <row r="391" spans="12:12" x14ac:dyDescent="0.3">
      <c r="L391" s="32" t="str">
        <f t="shared" si="5"/>
        <v/>
      </c>
    </row>
    <row r="392" spans="12:12" x14ac:dyDescent="0.3">
      <c r="L392" s="32" t="str">
        <f t="shared" si="5"/>
        <v/>
      </c>
    </row>
    <row r="393" spans="12:12" x14ac:dyDescent="0.3">
      <c r="L393" s="32" t="str">
        <f t="shared" si="5"/>
        <v/>
      </c>
    </row>
    <row r="394" spans="12:12" x14ac:dyDescent="0.3">
      <c r="L394" s="32" t="str">
        <f t="shared" si="5"/>
        <v/>
      </c>
    </row>
    <row r="395" spans="12:12" x14ac:dyDescent="0.3">
      <c r="L395" s="32" t="str">
        <f t="shared" si="5"/>
        <v/>
      </c>
    </row>
    <row r="396" spans="12:12" x14ac:dyDescent="0.3">
      <c r="L396" s="32" t="str">
        <f t="shared" si="5"/>
        <v/>
      </c>
    </row>
    <row r="397" spans="12:12" x14ac:dyDescent="0.3">
      <c r="L397" s="32" t="str">
        <f t="shared" si="5"/>
        <v/>
      </c>
    </row>
    <row r="398" spans="12:12" x14ac:dyDescent="0.3">
      <c r="L398" s="32" t="str">
        <f t="shared" si="5"/>
        <v/>
      </c>
    </row>
    <row r="399" spans="12:12" x14ac:dyDescent="0.3">
      <c r="L399" s="32" t="str">
        <f t="shared" ref="L399:L462" si="6">LEFT(E399,12)</f>
        <v/>
      </c>
    </row>
    <row r="400" spans="12:12" x14ac:dyDescent="0.3">
      <c r="L400" s="32" t="str">
        <f t="shared" si="6"/>
        <v/>
      </c>
    </row>
    <row r="401" spans="12:12" x14ac:dyDescent="0.3">
      <c r="L401" s="32" t="str">
        <f t="shared" si="6"/>
        <v/>
      </c>
    </row>
    <row r="402" spans="12:12" x14ac:dyDescent="0.3">
      <c r="L402" s="32" t="str">
        <f t="shared" si="6"/>
        <v/>
      </c>
    </row>
    <row r="403" spans="12:12" x14ac:dyDescent="0.3">
      <c r="L403" s="32" t="str">
        <f t="shared" si="6"/>
        <v/>
      </c>
    </row>
    <row r="404" spans="12:12" x14ac:dyDescent="0.3">
      <c r="L404" s="32" t="str">
        <f t="shared" si="6"/>
        <v/>
      </c>
    </row>
    <row r="405" spans="12:12" x14ac:dyDescent="0.3">
      <c r="L405" s="32" t="str">
        <f t="shared" si="6"/>
        <v/>
      </c>
    </row>
    <row r="406" spans="12:12" x14ac:dyDescent="0.3">
      <c r="L406" s="32" t="str">
        <f t="shared" si="6"/>
        <v/>
      </c>
    </row>
    <row r="407" spans="12:12" x14ac:dyDescent="0.3">
      <c r="L407" s="32" t="str">
        <f t="shared" si="6"/>
        <v/>
      </c>
    </row>
    <row r="408" spans="12:12" x14ac:dyDescent="0.3">
      <c r="L408" s="32" t="str">
        <f t="shared" si="6"/>
        <v/>
      </c>
    </row>
    <row r="409" spans="12:12" x14ac:dyDescent="0.3">
      <c r="L409" s="32" t="str">
        <f t="shared" si="6"/>
        <v/>
      </c>
    </row>
    <row r="410" spans="12:12" x14ac:dyDescent="0.3">
      <c r="L410" s="32" t="str">
        <f t="shared" si="6"/>
        <v/>
      </c>
    </row>
    <row r="411" spans="12:12" x14ac:dyDescent="0.3">
      <c r="L411" s="32" t="str">
        <f t="shared" si="6"/>
        <v/>
      </c>
    </row>
    <row r="412" spans="12:12" x14ac:dyDescent="0.3">
      <c r="L412" s="32" t="str">
        <f t="shared" si="6"/>
        <v/>
      </c>
    </row>
    <row r="413" spans="12:12" x14ac:dyDescent="0.3">
      <c r="L413" s="32" t="str">
        <f t="shared" si="6"/>
        <v/>
      </c>
    </row>
    <row r="414" spans="12:12" x14ac:dyDescent="0.3">
      <c r="L414" s="32" t="str">
        <f t="shared" si="6"/>
        <v/>
      </c>
    </row>
    <row r="415" spans="12:12" x14ac:dyDescent="0.3">
      <c r="L415" s="32" t="str">
        <f t="shared" si="6"/>
        <v/>
      </c>
    </row>
    <row r="416" spans="12:12" x14ac:dyDescent="0.3">
      <c r="L416" s="32" t="str">
        <f t="shared" si="6"/>
        <v/>
      </c>
    </row>
    <row r="417" spans="12:12" x14ac:dyDescent="0.3">
      <c r="L417" s="32" t="str">
        <f t="shared" si="6"/>
        <v/>
      </c>
    </row>
    <row r="418" spans="12:12" x14ac:dyDescent="0.3">
      <c r="L418" s="32" t="str">
        <f t="shared" si="6"/>
        <v/>
      </c>
    </row>
    <row r="419" spans="12:12" x14ac:dyDescent="0.3">
      <c r="L419" s="32" t="str">
        <f t="shared" si="6"/>
        <v/>
      </c>
    </row>
    <row r="420" spans="12:12" x14ac:dyDescent="0.3">
      <c r="L420" s="32" t="str">
        <f t="shared" si="6"/>
        <v/>
      </c>
    </row>
    <row r="421" spans="12:12" x14ac:dyDescent="0.3">
      <c r="L421" s="32" t="str">
        <f t="shared" si="6"/>
        <v/>
      </c>
    </row>
    <row r="422" spans="12:12" x14ac:dyDescent="0.3">
      <c r="L422" s="32" t="str">
        <f t="shared" si="6"/>
        <v/>
      </c>
    </row>
    <row r="423" spans="12:12" x14ac:dyDescent="0.3">
      <c r="L423" s="32" t="str">
        <f t="shared" si="6"/>
        <v/>
      </c>
    </row>
    <row r="424" spans="12:12" x14ac:dyDescent="0.3">
      <c r="L424" s="32" t="str">
        <f t="shared" si="6"/>
        <v/>
      </c>
    </row>
    <row r="425" spans="12:12" x14ac:dyDescent="0.3">
      <c r="L425" s="32" t="str">
        <f t="shared" si="6"/>
        <v/>
      </c>
    </row>
    <row r="426" spans="12:12" x14ac:dyDescent="0.3">
      <c r="L426" s="32" t="str">
        <f t="shared" si="6"/>
        <v/>
      </c>
    </row>
    <row r="427" spans="12:12" x14ac:dyDescent="0.3">
      <c r="L427" s="32" t="str">
        <f t="shared" si="6"/>
        <v/>
      </c>
    </row>
    <row r="428" spans="12:12" x14ac:dyDescent="0.3">
      <c r="L428" s="32" t="str">
        <f t="shared" si="6"/>
        <v/>
      </c>
    </row>
    <row r="429" spans="12:12" x14ac:dyDescent="0.3">
      <c r="L429" s="32" t="str">
        <f t="shared" si="6"/>
        <v/>
      </c>
    </row>
    <row r="430" spans="12:12" x14ac:dyDescent="0.3">
      <c r="L430" s="32" t="str">
        <f t="shared" si="6"/>
        <v/>
      </c>
    </row>
    <row r="431" spans="12:12" x14ac:dyDescent="0.3">
      <c r="L431" s="32" t="str">
        <f t="shared" si="6"/>
        <v/>
      </c>
    </row>
    <row r="432" spans="12:12" x14ac:dyDescent="0.3">
      <c r="L432" s="32" t="str">
        <f t="shared" si="6"/>
        <v/>
      </c>
    </row>
    <row r="433" spans="12:12" x14ac:dyDescent="0.3">
      <c r="L433" s="32" t="str">
        <f t="shared" si="6"/>
        <v/>
      </c>
    </row>
    <row r="434" spans="12:12" x14ac:dyDescent="0.3">
      <c r="L434" s="32" t="str">
        <f t="shared" si="6"/>
        <v/>
      </c>
    </row>
    <row r="435" spans="12:12" x14ac:dyDescent="0.3">
      <c r="L435" s="32" t="str">
        <f t="shared" si="6"/>
        <v/>
      </c>
    </row>
    <row r="436" spans="12:12" x14ac:dyDescent="0.3">
      <c r="L436" s="32" t="str">
        <f t="shared" si="6"/>
        <v/>
      </c>
    </row>
    <row r="437" spans="12:12" x14ac:dyDescent="0.3">
      <c r="L437" s="32" t="str">
        <f t="shared" si="6"/>
        <v/>
      </c>
    </row>
    <row r="438" spans="12:12" x14ac:dyDescent="0.3">
      <c r="L438" s="32" t="str">
        <f t="shared" si="6"/>
        <v/>
      </c>
    </row>
    <row r="439" spans="12:12" x14ac:dyDescent="0.3">
      <c r="L439" s="32" t="str">
        <f t="shared" si="6"/>
        <v/>
      </c>
    </row>
    <row r="440" spans="12:12" x14ac:dyDescent="0.3">
      <c r="L440" s="32" t="str">
        <f t="shared" si="6"/>
        <v/>
      </c>
    </row>
    <row r="441" spans="12:12" x14ac:dyDescent="0.3">
      <c r="L441" s="32" t="str">
        <f t="shared" si="6"/>
        <v/>
      </c>
    </row>
    <row r="442" spans="12:12" x14ac:dyDescent="0.3">
      <c r="L442" s="32" t="str">
        <f t="shared" si="6"/>
        <v/>
      </c>
    </row>
    <row r="443" spans="12:12" x14ac:dyDescent="0.3">
      <c r="L443" s="32" t="str">
        <f t="shared" si="6"/>
        <v/>
      </c>
    </row>
    <row r="444" spans="12:12" x14ac:dyDescent="0.3">
      <c r="L444" s="32" t="str">
        <f t="shared" si="6"/>
        <v/>
      </c>
    </row>
    <row r="445" spans="12:12" x14ac:dyDescent="0.3">
      <c r="L445" s="32" t="str">
        <f t="shared" si="6"/>
        <v/>
      </c>
    </row>
    <row r="446" spans="12:12" x14ac:dyDescent="0.3">
      <c r="L446" s="32" t="str">
        <f t="shared" si="6"/>
        <v/>
      </c>
    </row>
    <row r="447" spans="12:12" x14ac:dyDescent="0.3">
      <c r="L447" s="32" t="str">
        <f t="shared" si="6"/>
        <v/>
      </c>
    </row>
    <row r="448" spans="12:12" x14ac:dyDescent="0.3">
      <c r="L448" s="32" t="str">
        <f t="shared" si="6"/>
        <v/>
      </c>
    </row>
    <row r="449" spans="12:12" x14ac:dyDescent="0.3">
      <c r="L449" s="32" t="str">
        <f t="shared" si="6"/>
        <v/>
      </c>
    </row>
    <row r="450" spans="12:12" x14ac:dyDescent="0.3">
      <c r="L450" s="32" t="str">
        <f t="shared" si="6"/>
        <v/>
      </c>
    </row>
    <row r="451" spans="12:12" x14ac:dyDescent="0.3">
      <c r="L451" s="32" t="str">
        <f t="shared" si="6"/>
        <v/>
      </c>
    </row>
    <row r="452" spans="12:12" x14ac:dyDescent="0.3">
      <c r="L452" s="32" t="str">
        <f t="shared" si="6"/>
        <v/>
      </c>
    </row>
    <row r="453" spans="12:12" x14ac:dyDescent="0.3">
      <c r="L453" s="32" t="str">
        <f t="shared" si="6"/>
        <v/>
      </c>
    </row>
    <row r="454" spans="12:12" x14ac:dyDescent="0.3">
      <c r="L454" s="32" t="str">
        <f t="shared" si="6"/>
        <v/>
      </c>
    </row>
    <row r="455" spans="12:12" x14ac:dyDescent="0.3">
      <c r="L455" s="32" t="str">
        <f t="shared" si="6"/>
        <v/>
      </c>
    </row>
    <row r="456" spans="12:12" x14ac:dyDescent="0.3">
      <c r="L456" s="32" t="str">
        <f t="shared" si="6"/>
        <v/>
      </c>
    </row>
    <row r="457" spans="12:12" x14ac:dyDescent="0.3">
      <c r="L457" s="32" t="str">
        <f t="shared" si="6"/>
        <v/>
      </c>
    </row>
    <row r="458" spans="12:12" x14ac:dyDescent="0.3">
      <c r="L458" s="32" t="str">
        <f t="shared" si="6"/>
        <v/>
      </c>
    </row>
    <row r="459" spans="12:12" x14ac:dyDescent="0.3">
      <c r="L459" s="32" t="str">
        <f t="shared" si="6"/>
        <v/>
      </c>
    </row>
    <row r="460" spans="12:12" x14ac:dyDescent="0.3">
      <c r="L460" s="32" t="str">
        <f t="shared" si="6"/>
        <v/>
      </c>
    </row>
    <row r="461" spans="12:12" x14ac:dyDescent="0.3">
      <c r="L461" s="32" t="str">
        <f t="shared" si="6"/>
        <v/>
      </c>
    </row>
    <row r="462" spans="12:12" x14ac:dyDescent="0.3">
      <c r="L462" s="32" t="str">
        <f t="shared" si="6"/>
        <v/>
      </c>
    </row>
    <row r="463" spans="12:12" x14ac:dyDescent="0.3">
      <c r="L463" s="32" t="str">
        <f t="shared" ref="L463:L526" si="7">LEFT(E463,12)</f>
        <v/>
      </c>
    </row>
    <row r="464" spans="12:12" x14ac:dyDescent="0.3">
      <c r="L464" s="32" t="str">
        <f t="shared" si="7"/>
        <v/>
      </c>
    </row>
    <row r="465" spans="12:12" x14ac:dyDescent="0.3">
      <c r="L465" s="32" t="str">
        <f t="shared" si="7"/>
        <v/>
      </c>
    </row>
    <row r="466" spans="12:12" x14ac:dyDescent="0.3">
      <c r="L466" s="32" t="str">
        <f t="shared" si="7"/>
        <v/>
      </c>
    </row>
    <row r="467" spans="12:12" x14ac:dyDescent="0.3">
      <c r="L467" s="32" t="str">
        <f t="shared" si="7"/>
        <v/>
      </c>
    </row>
    <row r="468" spans="12:12" x14ac:dyDescent="0.3">
      <c r="L468" s="32" t="str">
        <f t="shared" si="7"/>
        <v/>
      </c>
    </row>
    <row r="469" spans="12:12" x14ac:dyDescent="0.3">
      <c r="L469" s="32" t="str">
        <f t="shared" si="7"/>
        <v/>
      </c>
    </row>
    <row r="470" spans="12:12" x14ac:dyDescent="0.3">
      <c r="L470" s="32" t="str">
        <f t="shared" si="7"/>
        <v/>
      </c>
    </row>
    <row r="471" spans="12:12" x14ac:dyDescent="0.3">
      <c r="L471" s="32" t="str">
        <f t="shared" si="7"/>
        <v/>
      </c>
    </row>
    <row r="472" spans="12:12" x14ac:dyDescent="0.3">
      <c r="L472" s="32" t="str">
        <f t="shared" si="7"/>
        <v/>
      </c>
    </row>
    <row r="473" spans="12:12" x14ac:dyDescent="0.3">
      <c r="L473" s="32" t="str">
        <f t="shared" si="7"/>
        <v/>
      </c>
    </row>
    <row r="474" spans="12:12" x14ac:dyDescent="0.3">
      <c r="L474" s="32" t="str">
        <f t="shared" si="7"/>
        <v/>
      </c>
    </row>
    <row r="475" spans="12:12" x14ac:dyDescent="0.3">
      <c r="L475" s="32" t="str">
        <f t="shared" si="7"/>
        <v/>
      </c>
    </row>
    <row r="476" spans="12:12" x14ac:dyDescent="0.3">
      <c r="L476" s="32" t="str">
        <f t="shared" si="7"/>
        <v/>
      </c>
    </row>
    <row r="477" spans="12:12" x14ac:dyDescent="0.3">
      <c r="L477" s="32" t="str">
        <f t="shared" si="7"/>
        <v/>
      </c>
    </row>
    <row r="478" spans="12:12" x14ac:dyDescent="0.3">
      <c r="L478" s="32" t="str">
        <f t="shared" si="7"/>
        <v/>
      </c>
    </row>
    <row r="479" spans="12:12" x14ac:dyDescent="0.3">
      <c r="L479" s="32" t="str">
        <f t="shared" si="7"/>
        <v/>
      </c>
    </row>
    <row r="480" spans="12:12" x14ac:dyDescent="0.3">
      <c r="L480" s="32" t="str">
        <f t="shared" si="7"/>
        <v/>
      </c>
    </row>
    <row r="481" spans="12:12" x14ac:dyDescent="0.3">
      <c r="L481" s="32" t="str">
        <f t="shared" si="7"/>
        <v/>
      </c>
    </row>
    <row r="482" spans="12:12" x14ac:dyDescent="0.3">
      <c r="L482" s="32" t="str">
        <f t="shared" si="7"/>
        <v/>
      </c>
    </row>
    <row r="483" spans="12:12" x14ac:dyDescent="0.3">
      <c r="L483" s="32" t="str">
        <f t="shared" si="7"/>
        <v/>
      </c>
    </row>
    <row r="484" spans="12:12" x14ac:dyDescent="0.3">
      <c r="L484" s="32" t="str">
        <f t="shared" si="7"/>
        <v/>
      </c>
    </row>
    <row r="485" spans="12:12" x14ac:dyDescent="0.3">
      <c r="L485" s="32" t="str">
        <f t="shared" si="7"/>
        <v/>
      </c>
    </row>
    <row r="486" spans="12:12" x14ac:dyDescent="0.3">
      <c r="L486" s="32" t="str">
        <f t="shared" si="7"/>
        <v/>
      </c>
    </row>
    <row r="487" spans="12:12" x14ac:dyDescent="0.3">
      <c r="L487" s="32" t="str">
        <f t="shared" si="7"/>
        <v/>
      </c>
    </row>
    <row r="488" spans="12:12" x14ac:dyDescent="0.3">
      <c r="L488" s="32" t="str">
        <f t="shared" si="7"/>
        <v/>
      </c>
    </row>
    <row r="489" spans="12:12" x14ac:dyDescent="0.3">
      <c r="L489" s="32" t="str">
        <f t="shared" si="7"/>
        <v/>
      </c>
    </row>
    <row r="490" spans="12:12" x14ac:dyDescent="0.3">
      <c r="L490" s="32" t="str">
        <f t="shared" si="7"/>
        <v/>
      </c>
    </row>
    <row r="491" spans="12:12" x14ac:dyDescent="0.3">
      <c r="L491" s="32" t="str">
        <f t="shared" si="7"/>
        <v/>
      </c>
    </row>
    <row r="492" spans="12:12" x14ac:dyDescent="0.3">
      <c r="L492" s="32" t="str">
        <f t="shared" si="7"/>
        <v/>
      </c>
    </row>
    <row r="493" spans="12:12" x14ac:dyDescent="0.3">
      <c r="L493" s="32" t="str">
        <f t="shared" si="7"/>
        <v/>
      </c>
    </row>
    <row r="494" spans="12:12" x14ac:dyDescent="0.3">
      <c r="L494" s="32" t="str">
        <f t="shared" si="7"/>
        <v/>
      </c>
    </row>
    <row r="495" spans="12:12" x14ac:dyDescent="0.3">
      <c r="L495" s="32" t="str">
        <f t="shared" si="7"/>
        <v/>
      </c>
    </row>
    <row r="496" spans="12:12" x14ac:dyDescent="0.3">
      <c r="L496" s="32" t="str">
        <f t="shared" si="7"/>
        <v/>
      </c>
    </row>
    <row r="497" spans="12:12" x14ac:dyDescent="0.3">
      <c r="L497" s="32" t="str">
        <f t="shared" si="7"/>
        <v/>
      </c>
    </row>
    <row r="498" spans="12:12" x14ac:dyDescent="0.3">
      <c r="L498" s="32" t="str">
        <f t="shared" si="7"/>
        <v/>
      </c>
    </row>
    <row r="499" spans="12:12" x14ac:dyDescent="0.3">
      <c r="L499" s="32" t="str">
        <f t="shared" si="7"/>
        <v/>
      </c>
    </row>
    <row r="500" spans="12:12" x14ac:dyDescent="0.3">
      <c r="L500" s="32" t="str">
        <f t="shared" si="7"/>
        <v/>
      </c>
    </row>
    <row r="501" spans="12:12" x14ac:dyDescent="0.3">
      <c r="L501" s="32" t="str">
        <f t="shared" si="7"/>
        <v/>
      </c>
    </row>
    <row r="502" spans="12:12" x14ac:dyDescent="0.3">
      <c r="L502" s="32" t="str">
        <f t="shared" si="7"/>
        <v/>
      </c>
    </row>
    <row r="503" spans="12:12" x14ac:dyDescent="0.3">
      <c r="L503" s="32" t="str">
        <f t="shared" si="7"/>
        <v/>
      </c>
    </row>
    <row r="504" spans="12:12" x14ac:dyDescent="0.3">
      <c r="L504" s="32" t="str">
        <f t="shared" si="7"/>
        <v/>
      </c>
    </row>
    <row r="505" spans="12:12" x14ac:dyDescent="0.3">
      <c r="L505" s="32" t="str">
        <f t="shared" si="7"/>
        <v/>
      </c>
    </row>
    <row r="506" spans="12:12" x14ac:dyDescent="0.3">
      <c r="L506" s="32" t="str">
        <f t="shared" si="7"/>
        <v/>
      </c>
    </row>
    <row r="507" spans="12:12" x14ac:dyDescent="0.3">
      <c r="L507" s="32" t="str">
        <f t="shared" si="7"/>
        <v/>
      </c>
    </row>
    <row r="508" spans="12:12" x14ac:dyDescent="0.3">
      <c r="L508" s="32" t="str">
        <f t="shared" si="7"/>
        <v/>
      </c>
    </row>
    <row r="509" spans="12:12" x14ac:dyDescent="0.3">
      <c r="L509" s="32" t="str">
        <f t="shared" si="7"/>
        <v/>
      </c>
    </row>
    <row r="510" spans="12:12" x14ac:dyDescent="0.3">
      <c r="L510" s="32" t="str">
        <f t="shared" si="7"/>
        <v/>
      </c>
    </row>
    <row r="511" spans="12:12" x14ac:dyDescent="0.3">
      <c r="L511" s="32" t="str">
        <f t="shared" si="7"/>
        <v/>
      </c>
    </row>
    <row r="512" spans="12:12" x14ac:dyDescent="0.3">
      <c r="L512" s="32" t="str">
        <f t="shared" si="7"/>
        <v/>
      </c>
    </row>
    <row r="513" spans="12:12" x14ac:dyDescent="0.3">
      <c r="L513" s="32" t="str">
        <f t="shared" si="7"/>
        <v/>
      </c>
    </row>
    <row r="514" spans="12:12" x14ac:dyDescent="0.3">
      <c r="L514" s="32" t="str">
        <f t="shared" si="7"/>
        <v/>
      </c>
    </row>
    <row r="515" spans="12:12" x14ac:dyDescent="0.3">
      <c r="L515" s="32" t="str">
        <f t="shared" si="7"/>
        <v/>
      </c>
    </row>
    <row r="516" spans="12:12" x14ac:dyDescent="0.3">
      <c r="L516" s="32" t="str">
        <f t="shared" si="7"/>
        <v/>
      </c>
    </row>
    <row r="517" spans="12:12" x14ac:dyDescent="0.3">
      <c r="L517" s="32" t="str">
        <f t="shared" si="7"/>
        <v/>
      </c>
    </row>
    <row r="518" spans="12:12" x14ac:dyDescent="0.3">
      <c r="L518" s="32" t="str">
        <f t="shared" si="7"/>
        <v/>
      </c>
    </row>
    <row r="519" spans="12:12" x14ac:dyDescent="0.3">
      <c r="L519" s="32" t="str">
        <f t="shared" si="7"/>
        <v/>
      </c>
    </row>
    <row r="520" spans="12:12" x14ac:dyDescent="0.3">
      <c r="L520" s="32" t="str">
        <f t="shared" si="7"/>
        <v/>
      </c>
    </row>
    <row r="521" spans="12:12" x14ac:dyDescent="0.3">
      <c r="L521" s="32" t="str">
        <f t="shared" si="7"/>
        <v/>
      </c>
    </row>
    <row r="522" spans="12:12" x14ac:dyDescent="0.3">
      <c r="L522" s="32" t="str">
        <f t="shared" si="7"/>
        <v/>
      </c>
    </row>
    <row r="523" spans="12:12" x14ac:dyDescent="0.3">
      <c r="L523" s="32" t="str">
        <f t="shared" si="7"/>
        <v/>
      </c>
    </row>
    <row r="524" spans="12:12" x14ac:dyDescent="0.3">
      <c r="L524" s="32" t="str">
        <f t="shared" si="7"/>
        <v/>
      </c>
    </row>
    <row r="525" spans="12:12" x14ac:dyDescent="0.3">
      <c r="L525" s="32" t="str">
        <f t="shared" si="7"/>
        <v/>
      </c>
    </row>
    <row r="526" spans="12:12" x14ac:dyDescent="0.3">
      <c r="L526" s="32" t="str">
        <f t="shared" si="7"/>
        <v/>
      </c>
    </row>
    <row r="527" spans="12:12" x14ac:dyDescent="0.3">
      <c r="L527" s="32" t="str">
        <f t="shared" ref="L527:L590" si="8">LEFT(E527,12)</f>
        <v/>
      </c>
    </row>
    <row r="528" spans="12:12" x14ac:dyDescent="0.3">
      <c r="L528" s="32" t="str">
        <f t="shared" si="8"/>
        <v/>
      </c>
    </row>
    <row r="529" spans="12:12" x14ac:dyDescent="0.3">
      <c r="L529" s="32" t="str">
        <f t="shared" si="8"/>
        <v/>
      </c>
    </row>
    <row r="530" spans="12:12" x14ac:dyDescent="0.3">
      <c r="L530" s="32" t="str">
        <f t="shared" si="8"/>
        <v/>
      </c>
    </row>
    <row r="531" spans="12:12" x14ac:dyDescent="0.3">
      <c r="L531" s="32" t="str">
        <f t="shared" si="8"/>
        <v/>
      </c>
    </row>
    <row r="532" spans="12:12" x14ac:dyDescent="0.3">
      <c r="L532" s="32" t="str">
        <f t="shared" si="8"/>
        <v/>
      </c>
    </row>
    <row r="533" spans="12:12" x14ac:dyDescent="0.3">
      <c r="L533" s="32" t="str">
        <f t="shared" si="8"/>
        <v/>
      </c>
    </row>
    <row r="534" spans="12:12" x14ac:dyDescent="0.3">
      <c r="L534" s="32" t="str">
        <f t="shared" si="8"/>
        <v/>
      </c>
    </row>
    <row r="535" spans="12:12" x14ac:dyDescent="0.3">
      <c r="L535" s="32" t="str">
        <f t="shared" si="8"/>
        <v/>
      </c>
    </row>
    <row r="536" spans="12:12" x14ac:dyDescent="0.3">
      <c r="L536" s="32" t="str">
        <f t="shared" si="8"/>
        <v/>
      </c>
    </row>
    <row r="537" spans="12:12" x14ac:dyDescent="0.3">
      <c r="L537" s="32" t="str">
        <f t="shared" si="8"/>
        <v/>
      </c>
    </row>
    <row r="538" spans="12:12" x14ac:dyDescent="0.3">
      <c r="L538" s="32" t="str">
        <f t="shared" si="8"/>
        <v/>
      </c>
    </row>
    <row r="539" spans="12:12" x14ac:dyDescent="0.3">
      <c r="L539" s="32" t="str">
        <f t="shared" si="8"/>
        <v/>
      </c>
    </row>
    <row r="540" spans="12:12" x14ac:dyDescent="0.3">
      <c r="L540" s="32" t="str">
        <f t="shared" si="8"/>
        <v/>
      </c>
    </row>
    <row r="541" spans="12:12" x14ac:dyDescent="0.3">
      <c r="L541" s="32" t="str">
        <f t="shared" si="8"/>
        <v/>
      </c>
    </row>
    <row r="542" spans="12:12" x14ac:dyDescent="0.3">
      <c r="L542" s="32" t="str">
        <f t="shared" si="8"/>
        <v/>
      </c>
    </row>
    <row r="543" spans="12:12" x14ac:dyDescent="0.3">
      <c r="L543" s="32" t="str">
        <f t="shared" si="8"/>
        <v/>
      </c>
    </row>
    <row r="544" spans="12:12" x14ac:dyDescent="0.3">
      <c r="L544" s="32" t="str">
        <f t="shared" si="8"/>
        <v/>
      </c>
    </row>
    <row r="545" spans="12:12" x14ac:dyDescent="0.3">
      <c r="L545" s="32" t="str">
        <f t="shared" si="8"/>
        <v/>
      </c>
    </row>
    <row r="546" spans="12:12" x14ac:dyDescent="0.3">
      <c r="L546" s="32" t="str">
        <f t="shared" si="8"/>
        <v/>
      </c>
    </row>
    <row r="547" spans="12:12" x14ac:dyDescent="0.3">
      <c r="L547" s="32" t="str">
        <f t="shared" si="8"/>
        <v/>
      </c>
    </row>
    <row r="548" spans="12:12" x14ac:dyDescent="0.3">
      <c r="L548" s="32" t="str">
        <f t="shared" si="8"/>
        <v/>
      </c>
    </row>
    <row r="549" spans="12:12" x14ac:dyDescent="0.3">
      <c r="L549" s="32" t="str">
        <f t="shared" si="8"/>
        <v/>
      </c>
    </row>
    <row r="550" spans="12:12" x14ac:dyDescent="0.3">
      <c r="L550" s="32" t="str">
        <f t="shared" si="8"/>
        <v/>
      </c>
    </row>
    <row r="551" spans="12:12" x14ac:dyDescent="0.3">
      <c r="L551" s="32" t="str">
        <f t="shared" si="8"/>
        <v/>
      </c>
    </row>
    <row r="552" spans="12:12" x14ac:dyDescent="0.3">
      <c r="L552" s="32" t="str">
        <f t="shared" si="8"/>
        <v/>
      </c>
    </row>
    <row r="553" spans="12:12" x14ac:dyDescent="0.3">
      <c r="L553" s="32" t="str">
        <f t="shared" si="8"/>
        <v/>
      </c>
    </row>
    <row r="554" spans="12:12" x14ac:dyDescent="0.3">
      <c r="L554" s="32" t="str">
        <f t="shared" si="8"/>
        <v/>
      </c>
    </row>
    <row r="555" spans="12:12" x14ac:dyDescent="0.3">
      <c r="L555" s="32" t="str">
        <f t="shared" si="8"/>
        <v/>
      </c>
    </row>
    <row r="556" spans="12:12" x14ac:dyDescent="0.3">
      <c r="L556" s="32" t="str">
        <f t="shared" si="8"/>
        <v/>
      </c>
    </row>
    <row r="557" spans="12:12" x14ac:dyDescent="0.3">
      <c r="L557" s="32" t="str">
        <f t="shared" si="8"/>
        <v/>
      </c>
    </row>
    <row r="558" spans="12:12" x14ac:dyDescent="0.3">
      <c r="L558" s="32" t="str">
        <f t="shared" si="8"/>
        <v/>
      </c>
    </row>
    <row r="559" spans="12:12" x14ac:dyDescent="0.3">
      <c r="L559" s="32" t="str">
        <f t="shared" si="8"/>
        <v/>
      </c>
    </row>
    <row r="560" spans="12:12" x14ac:dyDescent="0.3">
      <c r="L560" s="32" t="str">
        <f t="shared" si="8"/>
        <v/>
      </c>
    </row>
    <row r="561" spans="12:12" x14ac:dyDescent="0.3">
      <c r="L561" s="32" t="str">
        <f t="shared" si="8"/>
        <v/>
      </c>
    </row>
    <row r="562" spans="12:12" x14ac:dyDescent="0.3">
      <c r="L562" s="32" t="str">
        <f t="shared" si="8"/>
        <v/>
      </c>
    </row>
    <row r="563" spans="12:12" x14ac:dyDescent="0.3">
      <c r="L563" s="32" t="str">
        <f t="shared" si="8"/>
        <v/>
      </c>
    </row>
    <row r="564" spans="12:12" x14ac:dyDescent="0.3">
      <c r="L564" s="32" t="str">
        <f t="shared" si="8"/>
        <v/>
      </c>
    </row>
    <row r="565" spans="12:12" x14ac:dyDescent="0.3">
      <c r="L565" s="32" t="str">
        <f t="shared" si="8"/>
        <v/>
      </c>
    </row>
    <row r="566" spans="12:12" x14ac:dyDescent="0.3">
      <c r="L566" s="32" t="str">
        <f t="shared" si="8"/>
        <v/>
      </c>
    </row>
    <row r="567" spans="12:12" x14ac:dyDescent="0.3">
      <c r="L567" s="32" t="str">
        <f t="shared" si="8"/>
        <v/>
      </c>
    </row>
    <row r="568" spans="12:12" x14ac:dyDescent="0.3">
      <c r="L568" s="32" t="str">
        <f t="shared" si="8"/>
        <v/>
      </c>
    </row>
    <row r="569" spans="12:12" x14ac:dyDescent="0.3">
      <c r="L569" s="32" t="str">
        <f t="shared" si="8"/>
        <v/>
      </c>
    </row>
    <row r="570" spans="12:12" x14ac:dyDescent="0.3">
      <c r="L570" s="32" t="str">
        <f t="shared" si="8"/>
        <v/>
      </c>
    </row>
    <row r="571" spans="12:12" x14ac:dyDescent="0.3">
      <c r="L571" s="32" t="str">
        <f t="shared" si="8"/>
        <v/>
      </c>
    </row>
    <row r="572" spans="12:12" x14ac:dyDescent="0.3">
      <c r="L572" s="32" t="str">
        <f t="shared" si="8"/>
        <v/>
      </c>
    </row>
    <row r="573" spans="12:12" x14ac:dyDescent="0.3">
      <c r="L573" s="32" t="str">
        <f t="shared" si="8"/>
        <v/>
      </c>
    </row>
    <row r="574" spans="12:12" x14ac:dyDescent="0.3">
      <c r="L574" s="32" t="str">
        <f t="shared" si="8"/>
        <v/>
      </c>
    </row>
    <row r="575" spans="12:12" x14ac:dyDescent="0.3">
      <c r="L575" s="32" t="str">
        <f t="shared" si="8"/>
        <v/>
      </c>
    </row>
    <row r="576" spans="12:12" x14ac:dyDescent="0.3">
      <c r="L576" s="32" t="str">
        <f t="shared" si="8"/>
        <v/>
      </c>
    </row>
    <row r="577" spans="12:12" x14ac:dyDescent="0.3">
      <c r="L577" s="32" t="str">
        <f t="shared" si="8"/>
        <v/>
      </c>
    </row>
    <row r="578" spans="12:12" x14ac:dyDescent="0.3">
      <c r="L578" s="32" t="str">
        <f t="shared" si="8"/>
        <v/>
      </c>
    </row>
    <row r="579" spans="12:12" x14ac:dyDescent="0.3">
      <c r="L579" s="32" t="str">
        <f t="shared" si="8"/>
        <v/>
      </c>
    </row>
    <row r="580" spans="12:12" x14ac:dyDescent="0.3">
      <c r="L580" s="32" t="str">
        <f t="shared" si="8"/>
        <v/>
      </c>
    </row>
    <row r="581" spans="12:12" x14ac:dyDescent="0.3">
      <c r="L581" s="32" t="str">
        <f t="shared" si="8"/>
        <v/>
      </c>
    </row>
    <row r="582" spans="12:12" x14ac:dyDescent="0.3">
      <c r="L582" s="32" t="str">
        <f t="shared" si="8"/>
        <v/>
      </c>
    </row>
    <row r="583" spans="12:12" x14ac:dyDescent="0.3">
      <c r="L583" s="32" t="str">
        <f t="shared" si="8"/>
        <v/>
      </c>
    </row>
    <row r="584" spans="12:12" x14ac:dyDescent="0.3">
      <c r="L584" s="32" t="str">
        <f t="shared" si="8"/>
        <v/>
      </c>
    </row>
    <row r="585" spans="12:12" x14ac:dyDescent="0.3">
      <c r="L585" s="32" t="str">
        <f t="shared" si="8"/>
        <v/>
      </c>
    </row>
    <row r="586" spans="12:12" x14ac:dyDescent="0.3">
      <c r="L586" s="32" t="str">
        <f t="shared" si="8"/>
        <v/>
      </c>
    </row>
    <row r="587" spans="12:12" x14ac:dyDescent="0.3">
      <c r="L587" s="32" t="str">
        <f t="shared" si="8"/>
        <v/>
      </c>
    </row>
    <row r="588" spans="12:12" x14ac:dyDescent="0.3">
      <c r="L588" s="32" t="str">
        <f t="shared" si="8"/>
        <v/>
      </c>
    </row>
    <row r="589" spans="12:12" x14ac:dyDescent="0.3">
      <c r="L589" s="32" t="str">
        <f t="shared" si="8"/>
        <v/>
      </c>
    </row>
    <row r="590" spans="12:12" x14ac:dyDescent="0.3">
      <c r="L590" s="32" t="str">
        <f t="shared" si="8"/>
        <v/>
      </c>
    </row>
    <row r="591" spans="12:12" x14ac:dyDescent="0.3">
      <c r="L591" s="32" t="str">
        <f t="shared" ref="L591:L623" si="9">LEFT(E591,12)</f>
        <v/>
      </c>
    </row>
    <row r="592" spans="12:12" x14ac:dyDescent="0.3">
      <c r="L592" s="32" t="str">
        <f t="shared" si="9"/>
        <v/>
      </c>
    </row>
    <row r="593" spans="12:12" x14ac:dyDescent="0.3">
      <c r="L593" s="32" t="str">
        <f t="shared" si="9"/>
        <v/>
      </c>
    </row>
    <row r="594" spans="12:12" x14ac:dyDescent="0.3">
      <c r="L594" s="32" t="str">
        <f t="shared" si="9"/>
        <v/>
      </c>
    </row>
    <row r="595" spans="12:12" x14ac:dyDescent="0.3">
      <c r="L595" s="32" t="str">
        <f t="shared" si="9"/>
        <v/>
      </c>
    </row>
    <row r="596" spans="12:12" x14ac:dyDescent="0.3">
      <c r="L596" s="32" t="str">
        <f t="shared" si="9"/>
        <v/>
      </c>
    </row>
    <row r="597" spans="12:12" x14ac:dyDescent="0.3">
      <c r="L597" s="32" t="str">
        <f t="shared" si="9"/>
        <v/>
      </c>
    </row>
    <row r="598" spans="12:12" x14ac:dyDescent="0.3">
      <c r="L598" s="32" t="str">
        <f t="shared" si="9"/>
        <v/>
      </c>
    </row>
    <row r="599" spans="12:12" x14ac:dyDescent="0.3">
      <c r="L599" s="32" t="str">
        <f t="shared" si="9"/>
        <v/>
      </c>
    </row>
    <row r="600" spans="12:12" x14ac:dyDescent="0.3">
      <c r="L600" s="32" t="str">
        <f t="shared" si="9"/>
        <v/>
      </c>
    </row>
    <row r="601" spans="12:12" x14ac:dyDescent="0.3">
      <c r="L601" s="32" t="str">
        <f t="shared" si="9"/>
        <v/>
      </c>
    </row>
    <row r="602" spans="12:12" x14ac:dyDescent="0.3">
      <c r="L602" s="32" t="str">
        <f t="shared" si="9"/>
        <v/>
      </c>
    </row>
    <row r="603" spans="12:12" x14ac:dyDescent="0.3">
      <c r="L603" s="32" t="str">
        <f t="shared" si="9"/>
        <v/>
      </c>
    </row>
    <row r="604" spans="12:12" x14ac:dyDescent="0.3">
      <c r="L604" s="32" t="str">
        <f t="shared" si="9"/>
        <v/>
      </c>
    </row>
    <row r="605" spans="12:12" x14ac:dyDescent="0.3">
      <c r="L605" s="32" t="str">
        <f t="shared" si="9"/>
        <v/>
      </c>
    </row>
    <row r="606" spans="12:12" x14ac:dyDescent="0.3">
      <c r="L606" s="32" t="str">
        <f t="shared" si="9"/>
        <v/>
      </c>
    </row>
    <row r="607" spans="12:12" x14ac:dyDescent="0.3">
      <c r="L607" s="32" t="str">
        <f t="shared" si="9"/>
        <v/>
      </c>
    </row>
    <row r="608" spans="12:12" x14ac:dyDescent="0.3">
      <c r="L608" s="32" t="str">
        <f t="shared" si="9"/>
        <v/>
      </c>
    </row>
    <row r="609" spans="12:12" x14ac:dyDescent="0.3">
      <c r="L609" s="32" t="str">
        <f t="shared" si="9"/>
        <v/>
      </c>
    </row>
    <row r="610" spans="12:12" x14ac:dyDescent="0.3">
      <c r="L610" s="32" t="str">
        <f t="shared" si="9"/>
        <v/>
      </c>
    </row>
    <row r="611" spans="12:12" x14ac:dyDescent="0.3">
      <c r="L611" s="32" t="str">
        <f t="shared" si="9"/>
        <v/>
      </c>
    </row>
    <row r="612" spans="12:12" x14ac:dyDescent="0.3">
      <c r="L612" s="32" t="str">
        <f t="shared" si="9"/>
        <v/>
      </c>
    </row>
    <row r="613" spans="12:12" x14ac:dyDescent="0.3">
      <c r="L613" s="32" t="str">
        <f t="shared" si="9"/>
        <v/>
      </c>
    </row>
    <row r="614" spans="12:12" x14ac:dyDescent="0.3">
      <c r="L614" s="32" t="str">
        <f t="shared" si="9"/>
        <v/>
      </c>
    </row>
    <row r="615" spans="12:12" x14ac:dyDescent="0.3">
      <c r="L615" s="32" t="str">
        <f t="shared" si="9"/>
        <v/>
      </c>
    </row>
    <row r="616" spans="12:12" x14ac:dyDescent="0.3">
      <c r="L616" s="32" t="str">
        <f t="shared" si="9"/>
        <v/>
      </c>
    </row>
    <row r="617" spans="12:12" x14ac:dyDescent="0.3">
      <c r="L617" s="32" t="str">
        <f t="shared" si="9"/>
        <v/>
      </c>
    </row>
    <row r="618" spans="12:12" x14ac:dyDescent="0.3">
      <c r="L618" s="32" t="str">
        <f t="shared" si="9"/>
        <v/>
      </c>
    </row>
    <row r="619" spans="12:12" x14ac:dyDescent="0.3">
      <c r="L619" s="32" t="str">
        <f t="shared" si="9"/>
        <v/>
      </c>
    </row>
    <row r="620" spans="12:12" x14ac:dyDescent="0.3">
      <c r="L620" s="32" t="str">
        <f t="shared" si="9"/>
        <v/>
      </c>
    </row>
    <row r="621" spans="12:12" x14ac:dyDescent="0.3">
      <c r="L621" s="32" t="str">
        <f t="shared" si="9"/>
        <v/>
      </c>
    </row>
    <row r="622" spans="12:12" x14ac:dyDescent="0.3">
      <c r="L622" s="32" t="str">
        <f t="shared" si="9"/>
        <v/>
      </c>
    </row>
    <row r="623" spans="12:12" x14ac:dyDescent="0.3">
      <c r="L623" s="32" t="str">
        <f t="shared" si="9"/>
        <v/>
      </c>
    </row>
  </sheetData>
  <mergeCells count="10">
    <mergeCell ref="E16:H16"/>
    <mergeCell ref="E17:H17"/>
    <mergeCell ref="E20:H20"/>
    <mergeCell ref="A5:C5"/>
    <mergeCell ref="E5:H5"/>
    <mergeCell ref="A6:C10"/>
    <mergeCell ref="E6:H10"/>
    <mergeCell ref="A15:B15"/>
    <mergeCell ref="A16:B16"/>
    <mergeCell ref="A29:B29"/>
  </mergeCells>
  <conditionalFormatting sqref="B18">
    <cfRule type="expression" dxfId="34" priority="91">
      <formula>$C$18&lt;&gt;""</formula>
    </cfRule>
    <cfRule type="expression" dxfId="33" priority="224">
      <formula>$C$20="Плоская черная кнопка без подсветки"</formula>
    </cfRule>
    <cfRule type="expression" dxfId="32" priority="225">
      <formula>$C$20="Выберите возможность подсветки"</formula>
    </cfRule>
    <cfRule type="expression" dxfId="31" priority="226">
      <formula>$C$20="Выберите возможность подсветки  'Да'"</formula>
    </cfRule>
    <cfRule type="expression" dxfId="30" priority="227">
      <formula>$C$20="Грибовидная кнопка с подсветкой 'Да'"</formula>
    </cfRule>
  </conditionalFormatting>
  <conditionalFormatting sqref="B31">
    <cfRule type="expression" dxfId="29" priority="64">
      <formula>AND($C$31&lt;&gt;"",$B$31&lt;&gt;"")</formula>
    </cfRule>
    <cfRule type="expression" dxfId="28" priority="65">
      <formula>AND($C$31&lt;&gt;"",$B$31="")</formula>
    </cfRule>
  </conditionalFormatting>
  <conditionalFormatting sqref="B20">
    <cfRule type="expression" dxfId="27" priority="87">
      <formula>AND($C$20&lt;&gt;"",$B$20&lt;&gt;"")</formula>
    </cfRule>
    <cfRule type="expression" dxfId="26" priority="95">
      <formula>AND($C$20&lt;&gt;"",$B$20="")</formula>
    </cfRule>
  </conditionalFormatting>
  <conditionalFormatting sqref="B33">
    <cfRule type="expression" dxfId="25" priority="62">
      <formula>AND($C$33&lt;&gt;"",$B$33&lt;&gt;"")</formula>
    </cfRule>
    <cfRule type="expression" dxfId="24" priority="63">
      <formula>AND($C$33&lt;&gt;"",$B$33="")</formula>
    </cfRule>
  </conditionalFormatting>
  <conditionalFormatting sqref="B35">
    <cfRule type="expression" dxfId="23" priority="60">
      <formula>AND($C$35&lt;&gt;"",$B$35&lt;&gt;"")</formula>
    </cfRule>
    <cfRule type="expression" dxfId="22" priority="61">
      <formula>AND($C$35&lt;&gt;"",$B$35="")</formula>
    </cfRule>
  </conditionalFormatting>
  <conditionalFormatting sqref="B37">
    <cfRule type="expression" dxfId="21" priority="58">
      <formula>AND($C$37&lt;&gt;"",$B$37&lt;&gt;"")</formula>
    </cfRule>
    <cfRule type="expression" dxfId="20" priority="59">
      <formula>AND($C$37&lt;&gt;"",$B$37="")</formula>
    </cfRule>
  </conditionalFormatting>
  <conditionalFormatting sqref="B39">
    <cfRule type="expression" dxfId="19" priority="56">
      <formula>AND($C$39&lt;&gt;"",$B$39&lt;&gt;"")</formula>
    </cfRule>
    <cfRule type="expression" dxfId="18" priority="57">
      <formula>AND($C$39&lt;&gt;"",$B$39="")</formula>
    </cfRule>
  </conditionalFormatting>
  <conditionalFormatting sqref="B41">
    <cfRule type="expression" dxfId="17" priority="53">
      <formula>AND($C$41&lt;&gt;"",$B$41&lt;&gt;"")</formula>
    </cfRule>
    <cfRule type="expression" dxfId="16" priority="54">
      <formula>AND($C$41&lt;&gt;"",$B$41="")</formula>
    </cfRule>
  </conditionalFormatting>
  <conditionalFormatting sqref="B22">
    <cfRule type="expression" dxfId="15" priority="5">
      <formula>AND($C$22&lt;&gt;"",$B$22&lt;&gt;"")</formula>
    </cfRule>
    <cfRule type="expression" dxfId="14" priority="6">
      <formula>AND($C$22&lt;&gt;"",$B$22="")</formula>
    </cfRule>
  </conditionalFormatting>
  <conditionalFormatting sqref="B26">
    <cfRule type="expression" dxfId="13" priority="1">
      <formula>AND($C$26&lt;&gt;"",$B$26&lt;&gt;"")</formula>
    </cfRule>
    <cfRule type="expression" dxfId="12" priority="2">
      <formula>AND($C$26&lt;&gt;"",$B$26="")</formula>
    </cfRule>
  </conditionalFormatting>
  <conditionalFormatting sqref="B24">
    <cfRule type="expression" dxfId="11" priority="3">
      <formula>AND($C$24&lt;&gt;"",$B$24&lt;&gt;"")</formula>
    </cfRule>
    <cfRule type="expression" dxfId="10" priority="4">
      <formula>AND($C$24&lt;&gt;"",$B$24="")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lear_par">
              <controlPr defaultSize="0" print="0" autoFill="0" autoPict="0" macro="[0]!Clear_par">
                <anchor moveWithCells="1">
                  <from>
                    <xdr:col>1</xdr:col>
                    <xdr:colOff>962025</xdr:colOff>
                    <xdr:row>11</xdr:row>
                    <xdr:rowOff>104775</xdr:rowOff>
                  </from>
                  <to>
                    <xdr:col>2</xdr:col>
                    <xdr:colOff>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_xludf.Copy">
                <anchor moveWithCells="1">
                  <from>
                    <xdr:col>0</xdr:col>
                    <xdr:colOff>9525</xdr:colOff>
                    <xdr:row>43</xdr:row>
                    <xdr:rowOff>0</xdr:rowOff>
                  </from>
                  <to>
                    <xdr:col>1</xdr:col>
                    <xdr:colOff>1981200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Clear_Rezalt">
                <anchor moveWithCells="1">
                  <from>
                    <xdr:col>4</xdr:col>
                    <xdr:colOff>0</xdr:colOff>
                    <xdr:row>11</xdr:row>
                    <xdr:rowOff>152400</xdr:rowOff>
                  </from>
                  <to>
                    <xdr:col>6</xdr:col>
                    <xdr:colOff>1152525</xdr:colOff>
                    <xdr:row>12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100-000000000000}">
          <x14:formula1>
            <xm:f>'C:\Users\farid.panahov\Desktop\Конфигуратор Реле\[Configurator_Lighting_fixtures_Mitra.xlsm]Списки'!#REF!</xm:f>
          </x14:formula1>
          <xm:sqref>B28:B29</xm:sqref>
        </x14:dataValidation>
        <x14:dataValidation type="list" allowBlank="1" showInputMessage="1" showErrorMessage="1" xr:uid="{0051DD95-5DC9-4789-B44B-2D08A177F388}">
          <x14:formula1>
            <xm:f>Списки!$B$3:$B$5</xm:f>
          </x14:formula1>
          <xm:sqref>B18</xm:sqref>
        </x14:dataValidation>
        <x14:dataValidation type="list" allowBlank="1" showInputMessage="1" showErrorMessage="1" xr:uid="{3047D5DC-DDDF-419B-9588-0BF0CD1F14A1}">
          <x14:formula1>
            <xm:f>Списки!$C$3:$C$9</xm:f>
          </x14:formula1>
          <xm:sqref>B20</xm:sqref>
        </x14:dataValidation>
        <x14:dataValidation type="list" allowBlank="1" showInputMessage="1" showErrorMessage="1" xr:uid="{ED83C5C5-1428-4B83-8AC4-D0AAF4C29910}">
          <x14:formula1>
            <xm:f>Списки!$B$12:$B$13</xm:f>
          </x14:formula1>
          <xm:sqref>B31</xm:sqref>
        </x14:dataValidation>
        <x14:dataValidation type="list" allowBlank="1" showInputMessage="1" showErrorMessage="1" xr:uid="{5801C39C-2FCE-4DD6-A2AE-369BE7933B02}">
          <x14:formula1>
            <xm:f>Списки!$C$12:$C$13</xm:f>
          </x14:formula1>
          <xm:sqref>B33</xm:sqref>
        </x14:dataValidation>
        <x14:dataValidation type="list" allowBlank="1" showInputMessage="1" showErrorMessage="1" xr:uid="{CC93D60E-5A5C-4CC5-B22A-39CB71EA4EFC}">
          <x14:formula1>
            <xm:f>Списки!$D$12:$D$13</xm:f>
          </x14:formula1>
          <xm:sqref>B35 B37 B39</xm:sqref>
        </x14:dataValidation>
        <x14:dataValidation type="list" allowBlank="1" showInputMessage="1" showErrorMessage="1" xr:uid="{78AC67A4-450A-4285-8FDE-1B7B01E3E5F2}">
          <x14:formula1>
            <xm:f>Списки!$B$22:$B$28</xm:f>
          </x14:formula1>
          <xm:sqref>B41</xm:sqref>
        </x14:dataValidation>
        <x14:dataValidation type="list" allowBlank="1" showInputMessage="1" showErrorMessage="1" xr:uid="{A7AF1B64-537D-4D48-AC66-67DA6814969B}">
          <x14:formula1>
            <xm:f>Списки!$D$3:$D$6</xm:f>
          </x14:formula1>
          <xm:sqref>B22</xm:sqref>
        </x14:dataValidation>
        <x14:dataValidation type="list" allowBlank="1" showInputMessage="1" showErrorMessage="1" xr:uid="{6768473D-E2F8-4FFC-BB86-E2D5B606177F}">
          <x14:formula1>
            <xm:f>Списки!$E$3:$E$8</xm:f>
          </x14:formula1>
          <xm:sqref>B24</xm:sqref>
        </x14:dataValidation>
        <x14:dataValidation type="list" showInputMessage="1" showErrorMessage="1" xr:uid="{73629E73-0A1A-4F9C-972F-C7063438AA44}">
          <x14:formula1>
            <xm:f>Списки!$D$12:$D$14</xm:f>
          </x14:formula1>
          <xm:sqref>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5A90-8CF9-4309-8B52-1903AA7C2DF6}">
  <sheetPr codeName="Лист2" filterMode="1"/>
  <dimension ref="A1:J28"/>
  <sheetViews>
    <sheetView workbookViewId="0">
      <selection activeCell="B2" sqref="B2:E25"/>
    </sheetView>
  </sheetViews>
  <sheetFormatPr defaultRowHeight="17.25" x14ac:dyDescent="0.3"/>
  <cols>
    <col min="1" max="2" width="10.25" bestFit="1" customWidth="1"/>
    <col min="3" max="3" width="19.625" customWidth="1"/>
    <col min="4" max="4" width="87.625" bestFit="1" customWidth="1"/>
    <col min="5" max="5" width="10.875" bestFit="1" customWidth="1"/>
    <col min="6" max="6" width="11.625" customWidth="1"/>
    <col min="7" max="7" width="27.25" customWidth="1"/>
  </cols>
  <sheetData>
    <row r="1" spans="1:8" ht="34.5" x14ac:dyDescent="0.3">
      <c r="A1" s="81">
        <f>COUNTIF(Конфигуратор!L:L,"Спецификация")</f>
        <v>1</v>
      </c>
      <c r="B1" s="82" t="s">
        <v>345</v>
      </c>
      <c r="C1" s="83" t="s">
        <v>302</v>
      </c>
      <c r="D1" s="83" t="s">
        <v>303</v>
      </c>
      <c r="E1" s="83" t="s">
        <v>346</v>
      </c>
    </row>
    <row r="2" spans="1:8" x14ac:dyDescent="0.3">
      <c r="A2" s="84" t="s">
        <v>373</v>
      </c>
      <c r="B2" s="159" t="str">
        <f>IF(SUM(B4:B20)=0,0,"Спецификация "&amp;A1+1)</f>
        <v>Спецификация 2</v>
      </c>
      <c r="C2" s="160"/>
      <c r="D2" s="161"/>
      <c r="E2" s="161"/>
    </row>
    <row r="3" spans="1:8" x14ac:dyDescent="0.3">
      <c r="B3" s="157" t="str">
        <f>IF(SUM(A4:A4)=0,,"Реле")</f>
        <v>Реле</v>
      </c>
      <c r="C3" s="158"/>
      <c r="D3" s="157"/>
      <c r="E3" s="157"/>
      <c r="F3" t="s">
        <v>391</v>
      </c>
    </row>
    <row r="4" spans="1:8" x14ac:dyDescent="0.3">
      <c r="A4" s="85">
        <f>IF(OR(C4="",C4="Ошибка параметров ввода"),0,1)</f>
        <v>1</v>
      </c>
      <c r="B4" s="145">
        <f>IF(A4=1,A4,)</f>
        <v>1</v>
      </c>
      <c r="C4" s="146" t="str">
        <f>IFERROR(VLOOKUP(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,Реле!J:K,2,0),"Ошибка параметров ввода")</f>
        <v>IR-12AC-2CO-D</v>
      </c>
      <c r="D4" s="147" t="str">
        <f>IFERROR(VLOOKUP(C4,Реле!$A:$B,2,0),"")</f>
        <v>Реле миниатюрное промышленное, 2CO, ком. ток 8А, AgSnO2, напряжение 12V AC, опция: тест-кнопка+светодиод</v>
      </c>
      <c r="E4" s="148">
        <f>IF(C4="","",1)</f>
        <v>1</v>
      </c>
      <c r="F4" t="str">
        <f>IFERROR(VLOOKUP($C$4,Реле!$A$1:$C$81,3,0),"Ошибка параметров ввода")</f>
        <v>IR-B2</v>
      </c>
      <c r="G4" t="str">
        <f>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</f>
        <v>AC122CO8Да</v>
      </c>
      <c r="H4" t="str">
        <f>Конфигуратор!$B$18&amp;Конфигуратор!$B$20&amp;Конфигуратор!$B$22&amp;Конфигуратор!$B$24&amp;Конфигуратор!$B$26&amp;Конфигуратор!$B$31</f>
        <v>AC122CO8ДаВинтовой</v>
      </c>
    </row>
    <row r="5" spans="1:8" hidden="1" x14ac:dyDescent="0.3">
      <c r="A5" s="85">
        <f>IF(OR(C5="",C5="Ошибка параметров ввода"),0,1)</f>
        <v>0</v>
      </c>
      <c r="B5" s="149">
        <f>IF(A5&gt;0,A5+A4,)</f>
        <v>0</v>
      </c>
      <c r="C5" s="150" t="str">
        <f>IFERROR(IF(Конфигуратор!B33="Пластик",VLOOKUP(Конфигуратор!$B$18&amp;Конфигуратор!$B$20&amp;Конфигуратор!$B$22&amp;Конфигуратор!$B$24&amp;Конфигуратор!$B$26&amp;"2",Реле!J:K,2,0),""),"Ошибка параметров ввода")</f>
        <v>Ошибка параметров ввода</v>
      </c>
      <c r="D5" s="151" t="str">
        <f>IFERROR(VLOOKUP(C5,Реле!$A:$B,2,0),"")</f>
        <v/>
      </c>
      <c r="E5" s="152">
        <f>IF(C5="","",1)</f>
        <v>1</v>
      </c>
      <c r="F5" t="str">
        <f>IFERROR(VLOOKUP($C$5,Реле!$A$1:$C$81,3,0),"Ошибка параметров ввода")</f>
        <v>Ошибка параметров ввода</v>
      </c>
      <c r="G5" t="str">
        <f>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</f>
        <v>AC122CO8Да</v>
      </c>
      <c r="H5" t="str">
        <f>Конфигуратор!$B$18&amp;Конфигуратор!$B$20&amp;Конфигуратор!$B$22&amp;Конфигуратор!$B$24&amp;Конфигуратор!$B$26</f>
        <v>AC122CO8Да</v>
      </c>
    </row>
    <row r="6" spans="1:8" x14ac:dyDescent="0.3">
      <c r="A6" s="84"/>
      <c r="B6" s="88" t="str">
        <f>IF(B3=0,0,"")</f>
        <v/>
      </c>
      <c r="C6" s="89"/>
      <c r="D6" s="88"/>
      <c r="E6" s="88"/>
    </row>
    <row r="7" spans="1:8" x14ac:dyDescent="0.3">
      <c r="B7" s="192" t="str">
        <f>IF(SUM(A8:A15)=0,,IF(F4="IRK","Комплектующие/запасные части готового реле (перемычка на выбор по цвету)",IF(B5=2,"Аксессуары к реле 1","Аксессуары к реле")))</f>
        <v>Аксессуары к реле</v>
      </c>
      <c r="C7" s="193"/>
      <c r="D7" s="192"/>
      <c r="E7" s="192"/>
    </row>
    <row r="8" spans="1:8" x14ac:dyDescent="0.3">
      <c r="A8" s="85">
        <f>IF(OR(C8="",C8="Ошибка параметров ввода"),0,1)</f>
        <v>1</v>
      </c>
      <c r="B8" s="145">
        <f>IF(A8&gt;0,SUM(A8),)</f>
        <v>1</v>
      </c>
      <c r="C8" s="146" t="str">
        <f>IFERROR(IF(F4="IRK",VLOOKUP(C4,IRK!A1:C13,2,0),VLOOKUP((VLOOKUP(C4,Реле!$A:$C,3,0)&amp;Конфигуратор!$B$31&amp;Конфигуратор!$B$33),'Колодки и аксессуары'!G:H,2,0)),"Ошибка параметров ввода")</f>
        <v>IR-B2-SC</v>
      </c>
      <c r="D8" s="147" t="str">
        <f>IFERROR(VLOOKUP(C8,'Колодки и аксессуары'!$A:$B,2,0),"")</f>
        <v>Колодка с винтовыми клеммами для реле на 2 группы</v>
      </c>
      <c r="E8" s="148">
        <f>IF(C8="","",1)</f>
        <v>1</v>
      </c>
      <c r="G8" t="str">
        <f>(VLOOKUP(C4,Реле!$A$1:$C$82,3,0)&amp;Конфигуратор!$B$31&amp;Конфигуратор!$B$33)</f>
        <v>IR-B2ВинтовойПластик</v>
      </c>
    </row>
    <row r="9" spans="1:8" hidden="1" x14ac:dyDescent="0.3">
      <c r="A9" s="85">
        <f t="shared" ref="A9:A15" si="0">IF(OR(C9="",C9="Ошибка параметров ввода"),0,1)</f>
        <v>0</v>
      </c>
      <c r="B9" s="145">
        <f>IF(A9&gt;0,SUM($A$8:A9),)</f>
        <v>0</v>
      </c>
      <c r="C9" s="146" t="str">
        <f>IFERROR(IF(F4="IRK",VLOOKUP(C4,IRK!A:C,3,0),VLOOKUP((VLOOKUP(C4,Реле!$A:$C,3,0)&amp;Конфигуратор!$B$31&amp;Конфигуратор!$B$33&amp;"2"),'Колодки и аксессуары'!G:H,2,0)),"Ошибка параметров ввода")</f>
        <v>Ошибка параметров ввода</v>
      </c>
      <c r="D9" s="147" t="str">
        <f>IFERROR(VLOOKUP(C9,'Колодки и аксессуары'!$A:$B,2,0),"")</f>
        <v/>
      </c>
      <c r="E9" s="148">
        <f t="shared" ref="E9:E20" si="1">IF(C9="","",1)</f>
        <v>1</v>
      </c>
      <c r="G9" t="str">
        <f>(VLOOKUP(C4,Реле!$A$1:$C$82,3,0)&amp;Конфигуратор!$B$31&amp;Конфигуратор!$B$33&amp;"2")</f>
        <v>IR-B2ВинтовойПластик2</v>
      </c>
    </row>
    <row r="10" spans="1:8" x14ac:dyDescent="0.3">
      <c r="A10" s="85">
        <f t="shared" si="0"/>
        <v>1</v>
      </c>
      <c r="B10" s="145">
        <f>IF(A10&gt;0,SUM($A$8:A10),)</f>
        <v>2</v>
      </c>
      <c r="C10" s="146" t="str">
        <f>IFERROR(IF(F4="IRK","IRK-MP",IF(Конфигуратор!B26="Да",IFERROR(VLOOKUP((VLOOKUP(C4,Реле!$A:$C,3,0)&amp;Конфигуратор!$B$31&amp;Конфигуратор!$B$33&amp;"Тест-кнопка"),'Колодки и аксессуары'!G:K,5,0),VLOOKUP((VLOOKUP(C4,Реле!$A:$C,3,0)&amp;Конфигуратор!$B$31&amp;Конфигуратор!$B$33),'Колодки и аксессуары'!G:K,5,0)),VLOOKUP((VLOOKUP(C4,Реле!$A:$C,3,0)&amp;Конфигуратор!$B$31&amp;Конфигуратор!$B$33),'Колодки и аксессуары'!G:K,5,0))),"Ошибка параметров ввода")</f>
        <v>IR-RB-1</v>
      </c>
      <c r="D10" s="147" t="str">
        <f>IFERROR(VLOOKUP(C10,'Колодки и аксессуары'!$A:$B,2,0),"")</f>
        <v>Пластиковый фиксатор для колодок IR-B1/B2-SC/PT</v>
      </c>
      <c r="E10" s="148">
        <f>IF(C10="","",1)</f>
        <v>1</v>
      </c>
      <c r="G10" t="str">
        <f>IFERROR(IF(Конфигуратор!B26="Да",VLOOKUP((VLOOKUP(C4,Реле!$A$1:$C$82,3,0)&amp;Конфигуратор!$B$31&amp;Конфигуратор!$B$33&amp;"Тест-кнопка"),'Колодки и аксессуары'!G3:K33,5,0),VLOOKUP((VLOOKUP(C4,Реле!$A$1:$C$82,3,0)&amp;Конфигуратор!$B$31&amp;Конфигуратор!$B$33),'Колодки и аксессуары'!G3:K33,5,0)),"Ошибка параметров ввода")</f>
        <v>Ошибка параметров ввода</v>
      </c>
    </row>
    <row r="11" spans="1:8" hidden="1" x14ac:dyDescent="0.3">
      <c r="A11" s="85">
        <f t="shared" ref="A11:A16" si="2">IF(OR(C11="",C11="Ошибка параметров ввода"),0,1)</f>
        <v>0</v>
      </c>
      <c r="B11" s="145">
        <f>IF(A11&gt;0,SUM($A$8:A11),)</f>
        <v>0</v>
      </c>
      <c r="C11" s="146" t="str">
        <f>IFERROR(IF(F4&amp;Конфигуратор!B37="IRKДа","IRK-AB-01",IF(Конфигуратор!B35&lt;&gt;"Да","",VLOOKUP(C8,'Колодки и аксессуары'!H:K,2,0))),"Ошибка параметров ввода")</f>
        <v/>
      </c>
      <c r="D11" s="147" t="str">
        <f>IFERROR(VLOOKUP(C11,'Колодки и аксессуары'!$A:$B,2,0),"")</f>
        <v/>
      </c>
      <c r="E11" s="148" t="str">
        <f>IF(C11="","",1)</f>
        <v/>
      </c>
    </row>
    <row r="12" spans="1:8" x14ac:dyDescent="0.3">
      <c r="A12" s="85">
        <f t="shared" si="2"/>
        <v>1</v>
      </c>
      <c r="B12" s="145">
        <f>IF(A12&gt;0,SUM($A$8:A12),)</f>
        <v>3</v>
      </c>
      <c r="C12" s="146" t="str">
        <f>IFERROR(IF(F4&amp;Конфигуратор!B37="IRKДа","IRK-AB-02",IF(Конфигуратор!B37&lt;&gt;"Да","",VLOOKUP(C8,'Колодки и аксессуары'!H:K,3,0))),"Ошибка параметров ввода")</f>
        <v>IR-AB</v>
      </c>
      <c r="D12" s="147" t="str">
        <f>IFERROR(VLOOKUP(C12,'Колодки и аксессуары'!$A:$B,2,0),"")</f>
        <v>8-полюсный шинный соединитель для колодок IR-B1/B2-SC/PT и IRM-B-SC/PT-  1/2, черный цвет</v>
      </c>
      <c r="E12" s="148">
        <f>IF(C12="","",1)</f>
        <v>1</v>
      </c>
    </row>
    <row r="13" spans="1:8" x14ac:dyDescent="0.3">
      <c r="A13" s="85">
        <f t="shared" si="2"/>
        <v>1</v>
      </c>
      <c r="B13" s="211">
        <f>IF(A13&gt;0,SUM($A$8:A13),)</f>
        <v>4</v>
      </c>
      <c r="C13" s="212" t="str">
        <f>IF(C8&amp;Конфигуратор!B33&amp;Конфигуратор!B35="IR-B1-SCПластикНет","IR-B1-SK",IF(C8&amp;Конфигуратор!B33&amp;Конфигуратор!B35="IR-B2-SCПластикНет","IR-B2-SK",""))</f>
        <v>IR-B2-SK</v>
      </c>
      <c r="D13" s="213" t="str">
        <f>IFERROR(IFERROR(VLOOKUP(C13,Модули!A:B,2,0),VLOOKUP(C13,'Колодки и аксессуары'!A:B,2,0)),"")</f>
        <v>Колодка c винтовыми клеммами низкопрофильная для реле серии IR на 2 группы контактов</v>
      </c>
      <c r="E13" s="214">
        <f t="shared" ref="E13:E14" si="3">IF(C13="","",1)</f>
        <v>1</v>
      </c>
      <c r="G13" t="str">
        <f>Конфигуратор!B41&amp;"AC/DCДа"</f>
        <v>RC-цепочкаAC/DCДа</v>
      </c>
    </row>
    <row r="14" spans="1:8" x14ac:dyDescent="0.3">
      <c r="A14" s="85">
        <f t="shared" si="2"/>
        <v>1</v>
      </c>
      <c r="B14" s="211">
        <f>IF(A14&gt;0,SUM($A$8:A14),)</f>
        <v>5</v>
      </c>
      <c r="C14" s="212" t="str">
        <f>IFERROR(IF(Конфигуратор!B37&lt;&gt;"Да","",VLOOKUP(C13,'Колодки и аксессуары'!H:K,3,0)),"Ошибка параметров ввода")</f>
        <v>IR-SK</v>
      </c>
      <c r="D14" s="213" t="str">
        <f>IFERROR(IFERROR(VLOOKUP(C14,Модули!A:B,2,0),VLOOKUP(C14,'Колодки и аксессуары'!A:B,2,0)),"")</f>
        <v>8-полюсный шинный соединитель для колодок IR-B1/B2-SK, черный цвет</v>
      </c>
      <c r="E14" s="214">
        <f t="shared" si="3"/>
        <v>1</v>
      </c>
    </row>
    <row r="15" spans="1:8" x14ac:dyDescent="0.3">
      <c r="A15" s="85">
        <f t="shared" si="2"/>
        <v>1</v>
      </c>
      <c r="B15" s="145">
        <f>IF(A15&gt;0,SUM($A$8:A15),)</f>
        <v>6</v>
      </c>
      <c r="C15" s="146" t="str">
        <f>IFERROR(IF(F4&amp;Конфигуратор!B37="IRKДа","IRK-AB-03",IF(Конфигуратор!B39&lt;&gt;"Да","",IF(Конфигуратор!B18="AC",IF(C8="IR-B3-SC",VLOOKUP(C8&amp;Конфигуратор!$B$41&amp;"AC/DCДа",Модули!I:K,3,0),VLOOKUP(Конфигуратор!B41&amp;"AC/DCДа",Модули!I:K,3,0)),IF(C8="IR-B3-SC",VLOOKUP(C8&amp;Конфигуратор!$B$41&amp;"Да",Модули!J:K,2,0),VLOOKUP(Конфигуратор!B41&amp;"Да",Модули!J:K,2,0))))),"Ошибка параметров ввода")</f>
        <v>IMD-RC1</v>
      </c>
      <c r="D15" s="147" t="str">
        <f>IFERROR(IFERROR(VLOOKUP(C15,Модули!A:B,2,0),VLOOKUP(C15,'Колодки и аксессуары'!A:B,2,0)),"")</f>
        <v>Модуль индикации и защиты, RC-цепочка, 6-24V AC/DC</v>
      </c>
      <c r="E15" s="148">
        <f>IF(C15="","",1)</f>
        <v>1</v>
      </c>
      <c r="G15" t="str">
        <f>Конфигуратор!B41&amp;"AC/DCДа"</f>
        <v>RC-цепочкаAC/DCДа</v>
      </c>
    </row>
    <row r="16" spans="1:8" ht="17.25" hidden="1" customHeight="1" x14ac:dyDescent="0.3">
      <c r="A16" s="85">
        <f t="shared" si="2"/>
        <v>0</v>
      </c>
      <c r="B16" s="145">
        <f>IF(A16&gt;0,SUM($A$8:A16),)</f>
        <v>0</v>
      </c>
      <c r="C16" s="146" t="str">
        <f>IF(F4&amp;Конфигуратор!B37="IRKДа","IRK-AB-04","")</f>
        <v/>
      </c>
      <c r="D16" s="147" t="str">
        <f>IFERROR(IFERROR(VLOOKUP(C16,Модули!A:B,2,0),VLOOKUP(C16,'Колодки и аксессуары'!A:B,2,0)),"")</f>
        <v/>
      </c>
      <c r="E16" s="148" t="str">
        <f>IF(C16="","",1)</f>
        <v/>
      </c>
    </row>
    <row r="17" spans="1:10" x14ac:dyDescent="0.3">
      <c r="A17" s="84"/>
      <c r="B17" s="88" t="str">
        <f>IF(B7=0,0,"")</f>
        <v/>
      </c>
      <c r="C17" s="89"/>
      <c r="D17" s="88"/>
      <c r="E17" s="88"/>
      <c r="G17" t="e">
        <f>(VLOOKUP(C5,Реле!$A$1:$C$82,3,0)&amp;Конфигуратор!$B$31&amp;Конфигуратор!$B$33)</f>
        <v>#N/A</v>
      </c>
    </row>
    <row r="18" spans="1:10" hidden="1" x14ac:dyDescent="0.3">
      <c r="A18" s="85"/>
      <c r="B18" s="194">
        <f>IF(SUM(A18:A22)=0,,"Аксессуары к реле 2")</f>
        <v>0</v>
      </c>
      <c r="C18" s="195"/>
      <c r="D18" s="195"/>
      <c r="E18" s="196"/>
      <c r="G18" t="e">
        <f>(VLOOKUP(C5,Реле!$A$1:$C$82,3,0)&amp;Конфигуратор!$B$31&amp;Конфигуратор!$B$33&amp;"2")</f>
        <v>#N/A</v>
      </c>
    </row>
    <row r="19" spans="1:10" hidden="1" x14ac:dyDescent="0.3">
      <c r="A19" s="85">
        <f>IF(OR(C19="",C19="Ошибка параметров ввода"),0,1)</f>
        <v>0</v>
      </c>
      <c r="B19" s="149">
        <f>IF(A19&gt;0,SUM(A19),)</f>
        <v>0</v>
      </c>
      <c r="C19" s="150" t="str">
        <f>IFERROR(VLOOKUP((VLOOKUP(C5,Реле!$A:$C,3,0)&amp;Конфигуратор!$B$31&amp;Конфигуратор!$B$33),'Колодки и аксессуары'!G:H,2,0),"Ошибка параметров ввода")</f>
        <v>Ошибка параметров ввода</v>
      </c>
      <c r="D19" s="151" t="str">
        <f>IFERROR(VLOOKUP(C19,'Колодки и аксессуары'!$A:$B,2,0),"")</f>
        <v/>
      </c>
      <c r="E19" s="152">
        <f t="shared" si="1"/>
        <v>1</v>
      </c>
    </row>
    <row r="20" spans="1:10" hidden="1" x14ac:dyDescent="0.3">
      <c r="A20" s="85">
        <f t="shared" ref="A20:A24" si="4">IF(OR(C20="",C20="Ошибка параметров ввода"),0,1)</f>
        <v>0</v>
      </c>
      <c r="B20" s="149">
        <f>IF(A20&gt;0,SUM($A$19:A20),)</f>
        <v>0</v>
      </c>
      <c r="C20" s="150" t="str">
        <f>IFERROR(VLOOKUP((VLOOKUP(C5,Реле!$A:$C,3,0)&amp;Конфигуратор!$B$31&amp;Конфигуратор!$B$33&amp;"2"),'Колодки и аксессуары'!G:H,2,0),"Ошибка параметров ввода")</f>
        <v>Ошибка параметров ввода</v>
      </c>
      <c r="D20" s="151" t="str">
        <f>IFERROR(VLOOKUP(C20,'Колодки и аксессуары'!$A:$B,2,0),"")</f>
        <v/>
      </c>
      <c r="E20" s="152">
        <f t="shared" si="1"/>
        <v>1</v>
      </c>
    </row>
    <row r="21" spans="1:10" hidden="1" x14ac:dyDescent="0.3">
      <c r="A21" s="85">
        <f t="shared" si="4"/>
        <v>0</v>
      </c>
      <c r="B21" s="149">
        <f>IF(A21&gt;0,SUM($A$19:A21),)</f>
        <v>0</v>
      </c>
      <c r="C21" s="150" t="str">
        <f>IFERROR(IF(Конфигуратор!B27="Да",VLOOKUP((VLOOKUP(C5,Реле!$A:$C,3,0)&amp;Конфигуратор!$B$31&amp;Конфигуратор!$B$33&amp;"Тест-кнопка"),'Колодки и аксессуары'!G:K,5,0),VLOOKUP((VLOOKUP(C5,Реле!$A:$C,3,0)&amp;Конфигуратор!$B$31&amp;Конфигуратор!$B$33),'Колодки и аксессуары'!G:K,5,0)),"Ошибка параметров ввода")</f>
        <v>Ошибка параметров ввода</v>
      </c>
      <c r="D21" s="151" t="str">
        <f>IFERROR(VLOOKUP(C21,'Колодки и аксессуары'!$A:$B,2,0),"")</f>
        <v/>
      </c>
      <c r="E21" s="152">
        <f>IF(C21="","",1)</f>
        <v>1</v>
      </c>
    </row>
    <row r="22" spans="1:10" hidden="1" x14ac:dyDescent="0.3">
      <c r="A22" s="85">
        <f t="shared" si="4"/>
        <v>0</v>
      </c>
      <c r="B22" s="149">
        <f>IF(A22&gt;0,SUM($A$19:A22),)</f>
        <v>0</v>
      </c>
      <c r="C22" s="150" t="str">
        <f>IFERROR(IF(Конфигуратор!B35&lt;&gt;"Да","",VLOOKUP(C19,'Колодки и аксессуары'!H:K,2,0)),"Ошибка параметров ввода")</f>
        <v/>
      </c>
      <c r="D22" s="151" t="str">
        <f>IFERROR(VLOOKUP(C22,'Колодки и аксессуары'!$A:$B,2,0),"")</f>
        <v/>
      </c>
      <c r="E22" s="152" t="str">
        <f>IF(C22="","",1)</f>
        <v/>
      </c>
    </row>
    <row r="23" spans="1:10" hidden="1" x14ac:dyDescent="0.3">
      <c r="A23" s="85">
        <f t="shared" si="4"/>
        <v>0</v>
      </c>
      <c r="B23" s="149">
        <f>IF(A23&gt;0,SUM($A$19:A23),)</f>
        <v>0</v>
      </c>
      <c r="C23" s="150" t="str">
        <f>IFERROR(IF(Конфигуратор!B37&lt;&gt;"Да","",VLOOKUP(C19,'Колодки и аксессуары'!H:K,3,0)),"Ошибка параметров ввода")</f>
        <v>Ошибка параметров ввода</v>
      </c>
      <c r="D23" s="151" t="str">
        <f>IFERROR(VLOOKUP(C23,'Колодки и аксессуары'!$A:$B,2,0),"")</f>
        <v/>
      </c>
      <c r="E23" s="152">
        <f>IF(C23="","",1)</f>
        <v>1</v>
      </c>
    </row>
    <row r="24" spans="1:10" ht="51.75" hidden="1" x14ac:dyDescent="0.3">
      <c r="A24" s="85">
        <f t="shared" si="4"/>
        <v>0</v>
      </c>
      <c r="B24" s="149">
        <f>IF(A24&gt;0,SUM($A$19:A24),)</f>
        <v>0</v>
      </c>
      <c r="C24" s="150" t="str">
        <f>IFERROR(IF(OR(Конфигуратор!B39&lt;&gt;"Да",C5="Ошибка параметров ввода",C5=""),"",IF(Конфигуратор!B18="AC",VLOOKUP(Конфигуратор!B41&amp;"AC/DCДа",Модули!I:K,3,0),VLOOKUP(Конфигуратор!B41&amp;"Да",Модули!J:K,2,0))),"Ошибка параметров ввода")</f>
        <v/>
      </c>
      <c r="D24" s="151" t="str">
        <f>IFERROR(VLOOKUP(C24,Модули!$A:$B,2,0),"")</f>
        <v/>
      </c>
      <c r="E24" s="152" t="str">
        <f>IF(C24="","",1)</f>
        <v/>
      </c>
      <c r="H24" s="92" t="s">
        <v>306</v>
      </c>
      <c r="I24">
        <v>22</v>
      </c>
      <c r="J24" s="61" t="str">
        <f>IF(Конфигуратор!$B$18="AC/DC","1CO",IF(Конфигуратор!$B$18&amp;Конфигуратор!$B$20="DC48","2CO",IF(Конфигуратор!$B$18&amp;Конфигуратор!$B$20="AC110","2CO","")))</f>
        <v/>
      </c>
    </row>
    <row r="25" spans="1:10" hidden="1" x14ac:dyDescent="0.3">
      <c r="A25">
        <f>MAX(A4:A24)</f>
        <v>1</v>
      </c>
      <c r="B25" s="88">
        <f>IF(B18=0,0,"")</f>
        <v>0</v>
      </c>
      <c r="C25" s="89"/>
      <c r="D25" s="88"/>
      <c r="E25" s="88"/>
      <c r="J25" s="120"/>
    </row>
    <row r="26" spans="1:10" ht="34.5" x14ac:dyDescent="0.3">
      <c r="B26" s="88" t="str">
        <f>""</f>
        <v/>
      </c>
      <c r="C26" s="89"/>
      <c r="D26" s="88"/>
      <c r="E26" s="88"/>
      <c r="H26" s="92" t="s">
        <v>312</v>
      </c>
      <c r="I26">
        <v>24</v>
      </c>
      <c r="J26" s="61" t="str">
        <f>IF(Конфигуратор!$B$18="AC/DC",6,IF(Конфигуратор!$B$18&amp;Конфигуратор!$B$20="DC48",8,IF(Конфигуратор!$B$18&amp;Конфигуратор!$B$20="AC110",10,IF(Конфигуратор!$B$22="3CO",16,IF(Конфигуратор!$B$18&amp;Конфигуратор!$B$20&amp;Конфигуратор!$B$22="AC121CO",12,"")))))</f>
        <v/>
      </c>
    </row>
    <row r="27" spans="1:10" x14ac:dyDescent="0.3">
      <c r="J27" s="120"/>
    </row>
    <row r="28" spans="1:10" ht="51.75" x14ac:dyDescent="0.3">
      <c r="H28" s="92" t="s">
        <v>394</v>
      </c>
      <c r="I28">
        <v>26</v>
      </c>
      <c r="J28" s="61" t="str">
        <f>IF(Конфигуратор!$B$18="AC/DC","Нет",IF(Конфигуратор!$B$18&amp;Конфигуратор!$B$20="DC48","Нет",IF(Конфигуратор!$B$18&amp;Конфигуратор!$B$20="AC110","Нет",IF(Конфигуратор!$B$22&amp;Конфигуратор!$B$24="2CO10","Нет",IF(Конфигуратор!$B$22&amp;Конфигуратор!$B$24="2CO12","Да",IF(Конфигуратор!$B$22="3CO","Да",IF(Конфигуратор!$B$22&amp;Конфигуратор!$B$24="4CO5","Нет",IF(Конфигуратор!$B$22&amp;Конфигуратор!$B$24="1CO16","Нет",IF(Конфигуратор!$B$22&amp;Конфигуратор!$B$24="4CO6","Да","")))))))))</f>
        <v/>
      </c>
    </row>
  </sheetData>
  <autoFilter ref="B1:E28" xr:uid="{BC454DAB-B902-48E8-8400-C9F379F983DD}">
    <filterColumn colId="0">
      <customFilters>
        <customFilter operator="notEqual" val="0"/>
      </customFilters>
    </filterColumn>
  </autoFilter>
  <mergeCells count="4">
    <mergeCell ref="B2:E2"/>
    <mergeCell ref="B3:E3"/>
    <mergeCell ref="B7:E7"/>
    <mergeCell ref="B18:E18"/>
  </mergeCells>
  <conditionalFormatting sqref="J24">
    <cfRule type="expression" dxfId="9" priority="5">
      <formula>AND($C$24&lt;&gt;"",$B$24&lt;&gt;"")</formula>
    </cfRule>
    <cfRule type="expression" dxfId="8" priority="6">
      <formula>AND($C$24&lt;&gt;"",$B$24="")</formula>
    </cfRule>
  </conditionalFormatting>
  <conditionalFormatting sqref="J28">
    <cfRule type="expression" dxfId="7" priority="1">
      <formula>AND($C$28&lt;&gt;"",$B$28&lt;&gt;"")</formula>
    </cfRule>
    <cfRule type="expression" dxfId="6" priority="2">
      <formula>AND($C$28&lt;&gt;"",$B$28="")</formula>
    </cfRule>
  </conditionalFormatting>
  <conditionalFormatting sqref="J26">
    <cfRule type="expression" dxfId="5" priority="3">
      <formula>AND($C$26&lt;&gt;"",$B$26&lt;&gt;"")</formula>
    </cfRule>
    <cfRule type="expression" dxfId="4" priority="4">
      <formula>AND($C$26&lt;&gt;"",$B$26="")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1CB374E4-5A06-4C70-AABB-CD16454CEEED}">
          <x14:formula1>
            <xm:f>Списки!$D$12:$D$14</xm:f>
          </x14:formula1>
          <xm:sqref>J28</xm:sqref>
        </x14:dataValidation>
        <x14:dataValidation type="list" allowBlank="1" showInputMessage="1" showErrorMessage="1" xr:uid="{D718BCF1-0E50-40E1-AC75-109C2147FF94}">
          <x14:formula1>
            <xm:f>Списки!$E$3:$E$8</xm:f>
          </x14:formula1>
          <xm:sqref>J26</xm:sqref>
        </x14:dataValidation>
        <x14:dataValidation type="list" allowBlank="1" showInputMessage="1" showErrorMessage="1" xr:uid="{A65442AA-BFB5-476F-B412-05439606ECA7}">
          <x14:formula1>
            <xm:f>Списки!$D$3:$D$6</xm:f>
          </x14:formula1>
          <xm:sqref>J24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 filterMode="1"/>
  <dimension ref="A1:Y82"/>
  <sheetViews>
    <sheetView workbookViewId="0">
      <selection activeCell="C10" sqref="C10"/>
    </sheetView>
  </sheetViews>
  <sheetFormatPr defaultRowHeight="17.25" x14ac:dyDescent="0.3"/>
  <cols>
    <col min="1" max="1" width="15.75" bestFit="1" customWidth="1"/>
    <col min="2" max="2" width="47" customWidth="1"/>
    <col min="3" max="3" width="12" customWidth="1"/>
    <col min="4" max="4" width="15.75" bestFit="1" customWidth="1"/>
    <col min="5" max="5" width="12.125" bestFit="1" customWidth="1"/>
    <col min="6" max="6" width="13.375" bestFit="1" customWidth="1"/>
    <col min="7" max="7" width="16.75" bestFit="1" customWidth="1"/>
    <col min="8" max="8" width="8.75" customWidth="1"/>
    <col min="9" max="9" width="27.625" customWidth="1"/>
    <col min="10" max="10" width="26.875" bestFit="1" customWidth="1"/>
    <col min="11" max="13" width="19.125" customWidth="1"/>
    <col min="14" max="15" width="9.625" bestFit="1" customWidth="1"/>
    <col min="20" max="20" width="13.875" bestFit="1" customWidth="1"/>
  </cols>
  <sheetData>
    <row r="1" spans="1:25" ht="58.15" customHeight="1" x14ac:dyDescent="0.3">
      <c r="A1" s="9" t="s">
        <v>302</v>
      </c>
      <c r="B1" s="10" t="s">
        <v>303</v>
      </c>
      <c r="C1" s="87" t="s">
        <v>381</v>
      </c>
      <c r="D1" s="78" t="s">
        <v>304</v>
      </c>
      <c r="E1" s="78" t="s">
        <v>305</v>
      </c>
      <c r="F1" s="78" t="s">
        <v>306</v>
      </c>
      <c r="G1" s="78" t="s">
        <v>312</v>
      </c>
      <c r="H1" s="116" t="s">
        <v>393</v>
      </c>
      <c r="I1" s="78" t="s">
        <v>377</v>
      </c>
      <c r="J1" s="100" t="s">
        <v>380</v>
      </c>
      <c r="K1" s="77" t="s">
        <v>302</v>
      </c>
      <c r="L1" t="str">
        <f>Конфигуратор!$B$18&amp;Конфигуратор!$B$20&amp;Конфигуратор!$B$22&amp;Конфигуратор!$B$24&amp;Конфигуратор!$B$26</f>
        <v>AC122CO8Да</v>
      </c>
      <c r="M1" t="str">
        <f>IF(Конфигуратор!$B$18="AC/DC",Конфигуратор!$B$18&amp;Конфигуратор!$B$20&amp;Конфигуратор!$B$22&amp;Конфигуратор!$B$24&amp;Конфигуратор!$B$26&amp;Конфигуратор!$B$31,Конфигуратор!$B$18&amp;Конфигуратор!$B$20&amp;Конфигуратор!$B$22&amp;Конфигуратор!$B$24&amp;Конфигуратор!$B$26)</f>
        <v>AC122CO8Да</v>
      </c>
      <c r="Q1" s="197" t="s">
        <v>353</v>
      </c>
      <c r="R1" s="197"/>
      <c r="S1" s="197"/>
      <c r="T1" s="197"/>
      <c r="U1" s="197"/>
      <c r="V1" s="197"/>
    </row>
    <row r="2" spans="1:25" hidden="1" x14ac:dyDescent="0.3">
      <c r="A2" s="12" t="s">
        <v>14</v>
      </c>
      <c r="B2" s="93" t="s">
        <v>15</v>
      </c>
      <c r="C2" s="86" t="str">
        <f t="shared" ref="C2:C9" si="0">LEFT(A2,3)</f>
        <v>IRK</v>
      </c>
      <c r="D2" s="77" t="s">
        <v>309</v>
      </c>
      <c r="E2" s="112">
        <v>110</v>
      </c>
      <c r="F2" s="77" t="s">
        <v>313</v>
      </c>
      <c r="G2" s="77">
        <v>6</v>
      </c>
      <c r="H2" s="112" t="s">
        <v>375</v>
      </c>
      <c r="I2" s="77" t="s">
        <v>318</v>
      </c>
      <c r="J2" s="77" t="str">
        <f t="shared" ref="J2:J9" si="1">D2&amp;E2&amp;F2&amp;G2&amp;H2&amp;I2</f>
        <v>AC/DC1101CO6НетPush-in</v>
      </c>
      <c r="K2" s="101" t="s">
        <v>14</v>
      </c>
      <c r="Q2" s="13" t="s">
        <v>20</v>
      </c>
      <c r="R2" s="14" t="s">
        <v>21</v>
      </c>
      <c r="S2" s="7" t="s">
        <v>310</v>
      </c>
      <c r="T2" s="7">
        <v>12</v>
      </c>
      <c r="U2" s="7" t="s">
        <v>313</v>
      </c>
      <c r="V2" s="7">
        <v>6</v>
      </c>
    </row>
    <row r="3" spans="1:25" hidden="1" x14ac:dyDescent="0.3">
      <c r="A3" s="12" t="s">
        <v>12</v>
      </c>
      <c r="B3" s="93" t="s">
        <v>13</v>
      </c>
      <c r="C3" s="86" t="str">
        <f t="shared" si="0"/>
        <v>IRK</v>
      </c>
      <c r="D3" s="77" t="s">
        <v>309</v>
      </c>
      <c r="E3" s="112">
        <v>110</v>
      </c>
      <c r="F3" s="112" t="s">
        <v>313</v>
      </c>
      <c r="G3" s="77">
        <v>6</v>
      </c>
      <c r="H3" s="112" t="s">
        <v>375</v>
      </c>
      <c r="I3" s="77" t="s">
        <v>399</v>
      </c>
      <c r="J3" s="112" t="str">
        <f t="shared" si="1"/>
        <v>AC/DC1101CO6НетВинтовой</v>
      </c>
      <c r="K3" s="101" t="s">
        <v>12</v>
      </c>
      <c r="Q3" s="13" t="s">
        <v>18</v>
      </c>
      <c r="R3" s="14" t="s">
        <v>19</v>
      </c>
      <c r="S3" s="7" t="s">
        <v>310</v>
      </c>
      <c r="T3" s="7">
        <v>24</v>
      </c>
      <c r="U3" s="7" t="s">
        <v>313</v>
      </c>
      <c r="V3" s="7">
        <v>6</v>
      </c>
    </row>
    <row r="4" spans="1:25" hidden="1" x14ac:dyDescent="0.3">
      <c r="A4" s="12" t="s">
        <v>10</v>
      </c>
      <c r="B4" s="93" t="s">
        <v>11</v>
      </c>
      <c r="C4" s="86" t="str">
        <f t="shared" si="0"/>
        <v>IRK</v>
      </c>
      <c r="D4" s="77" t="s">
        <v>309</v>
      </c>
      <c r="E4" s="112">
        <v>12</v>
      </c>
      <c r="F4" s="112" t="s">
        <v>313</v>
      </c>
      <c r="G4" s="77">
        <v>6</v>
      </c>
      <c r="H4" s="112" t="s">
        <v>375</v>
      </c>
      <c r="I4" s="77" t="s">
        <v>318</v>
      </c>
      <c r="J4" s="112" t="str">
        <f t="shared" si="1"/>
        <v>AC/DC121CO6НетPush-in</v>
      </c>
      <c r="K4" s="101" t="s">
        <v>10</v>
      </c>
      <c r="Q4" s="13" t="s">
        <v>22</v>
      </c>
      <c r="R4" s="13" t="s">
        <v>23</v>
      </c>
      <c r="S4" s="7" t="s">
        <v>310</v>
      </c>
      <c r="T4" s="7">
        <v>48</v>
      </c>
      <c r="U4" s="7" t="s">
        <v>313</v>
      </c>
      <c r="V4" s="7">
        <v>6</v>
      </c>
    </row>
    <row r="5" spans="1:25" hidden="1" x14ac:dyDescent="0.3">
      <c r="A5" s="12" t="s">
        <v>8</v>
      </c>
      <c r="B5" s="93" t="s">
        <v>9</v>
      </c>
      <c r="C5" s="86" t="str">
        <f t="shared" si="0"/>
        <v>IRK</v>
      </c>
      <c r="D5" s="77" t="s">
        <v>309</v>
      </c>
      <c r="E5" s="77">
        <v>12</v>
      </c>
      <c r="F5" s="77" t="s">
        <v>313</v>
      </c>
      <c r="G5" s="77">
        <v>6</v>
      </c>
      <c r="H5" s="112" t="s">
        <v>375</v>
      </c>
      <c r="I5" s="112" t="s">
        <v>399</v>
      </c>
      <c r="J5" s="112" t="str">
        <f t="shared" si="1"/>
        <v>AC/DC121CO6НетВинтовой</v>
      </c>
      <c r="K5" s="101" t="s">
        <v>8</v>
      </c>
      <c r="Q5" s="13" t="s">
        <v>16</v>
      </c>
      <c r="R5" s="13" t="s">
        <v>17</v>
      </c>
      <c r="S5" s="7" t="s">
        <v>310</v>
      </c>
      <c r="T5" s="7">
        <v>60</v>
      </c>
      <c r="U5" s="7" t="s">
        <v>313</v>
      </c>
      <c r="V5" s="7">
        <v>6</v>
      </c>
    </row>
    <row r="6" spans="1:25" hidden="1" x14ac:dyDescent="0.3">
      <c r="A6" s="12" t="s">
        <v>6</v>
      </c>
      <c r="B6" s="93" t="s">
        <v>7</v>
      </c>
      <c r="C6" s="86" t="str">
        <f t="shared" si="0"/>
        <v>IRK</v>
      </c>
      <c r="D6" s="77" t="s">
        <v>309</v>
      </c>
      <c r="E6" s="77">
        <v>230</v>
      </c>
      <c r="F6" s="77" t="s">
        <v>313</v>
      </c>
      <c r="G6" s="77">
        <v>6</v>
      </c>
      <c r="H6" s="112" t="s">
        <v>375</v>
      </c>
      <c r="I6" s="77" t="s">
        <v>318</v>
      </c>
      <c r="J6" s="112" t="str">
        <f t="shared" si="1"/>
        <v>AC/DC2301CO6НетPush-in</v>
      </c>
      <c r="K6" s="101" t="s">
        <v>6</v>
      </c>
      <c r="Q6" s="13" t="s">
        <v>24</v>
      </c>
      <c r="R6" s="13" t="s">
        <v>25</v>
      </c>
      <c r="S6" s="7" t="s">
        <v>318</v>
      </c>
      <c r="T6" s="199"/>
      <c r="U6" s="200"/>
      <c r="V6" s="201"/>
      <c r="W6" s="22" t="s">
        <v>52</v>
      </c>
      <c r="X6" s="198" t="s">
        <v>320</v>
      </c>
      <c r="Y6" s="1"/>
    </row>
    <row r="7" spans="1:25" hidden="1" x14ac:dyDescent="0.3">
      <c r="A7" s="12" t="s">
        <v>4</v>
      </c>
      <c r="B7" s="93" t="s">
        <v>5</v>
      </c>
      <c r="C7" s="86" t="str">
        <f t="shared" si="0"/>
        <v>IRK</v>
      </c>
      <c r="D7" s="77" t="s">
        <v>309</v>
      </c>
      <c r="E7" s="77">
        <v>230</v>
      </c>
      <c r="F7" s="77" t="s">
        <v>313</v>
      </c>
      <c r="G7" s="77">
        <v>6</v>
      </c>
      <c r="H7" s="112" t="s">
        <v>375</v>
      </c>
      <c r="I7" s="112" t="s">
        <v>399</v>
      </c>
      <c r="J7" s="112" t="str">
        <f t="shared" si="1"/>
        <v>AC/DC2301CO6НетВинтовой</v>
      </c>
      <c r="K7" s="101" t="s">
        <v>4</v>
      </c>
      <c r="Q7" s="13" t="s">
        <v>26</v>
      </c>
      <c r="R7" s="13" t="s">
        <v>27</v>
      </c>
      <c r="S7" s="7" t="s">
        <v>318</v>
      </c>
      <c r="T7" s="202"/>
      <c r="U7" s="203"/>
      <c r="V7" s="204"/>
      <c r="W7" s="22" t="s">
        <v>52</v>
      </c>
      <c r="X7" s="198"/>
      <c r="Y7" s="1"/>
    </row>
    <row r="8" spans="1:25" hidden="1" x14ac:dyDescent="0.3">
      <c r="A8" s="12" t="s">
        <v>2</v>
      </c>
      <c r="B8" s="93" t="s">
        <v>3</v>
      </c>
      <c r="C8" s="86" t="str">
        <f t="shared" si="0"/>
        <v>IRK</v>
      </c>
      <c r="D8" s="77" t="s">
        <v>309</v>
      </c>
      <c r="E8" s="77">
        <v>24</v>
      </c>
      <c r="F8" s="77" t="s">
        <v>313</v>
      </c>
      <c r="G8" s="77">
        <v>6</v>
      </c>
      <c r="H8" s="112" t="s">
        <v>375</v>
      </c>
      <c r="I8" s="77" t="s">
        <v>318</v>
      </c>
      <c r="J8" s="112" t="str">
        <f t="shared" si="1"/>
        <v>AC/DC241CO6НетPush-in</v>
      </c>
      <c r="K8" s="101" t="s">
        <v>2</v>
      </c>
      <c r="Q8" s="13" t="s">
        <v>28</v>
      </c>
      <c r="R8" s="13" t="s">
        <v>29</v>
      </c>
      <c r="S8" s="7" t="s">
        <v>318</v>
      </c>
      <c r="T8" s="202"/>
      <c r="U8" s="203"/>
      <c r="V8" s="204"/>
      <c r="W8" s="22" t="s">
        <v>52</v>
      </c>
      <c r="X8" s="198"/>
      <c r="Y8" s="1"/>
    </row>
    <row r="9" spans="1:25" hidden="1" x14ac:dyDescent="0.3">
      <c r="A9" s="12" t="s">
        <v>0</v>
      </c>
      <c r="B9" s="93" t="s">
        <v>1</v>
      </c>
      <c r="C9" s="86" t="str">
        <f t="shared" si="0"/>
        <v>IRK</v>
      </c>
      <c r="D9" s="77" t="s">
        <v>309</v>
      </c>
      <c r="E9" s="77">
        <v>24</v>
      </c>
      <c r="F9" s="77" t="s">
        <v>313</v>
      </c>
      <c r="G9" s="77">
        <v>6</v>
      </c>
      <c r="H9" s="112" t="s">
        <v>375</v>
      </c>
      <c r="I9" s="112" t="s">
        <v>399</v>
      </c>
      <c r="J9" s="112" t="str">
        <f t="shared" si="1"/>
        <v>AC/DC241CO6НетВинтовой</v>
      </c>
      <c r="K9" s="101" t="s">
        <v>0</v>
      </c>
      <c r="Q9" s="13" t="s">
        <v>30</v>
      </c>
      <c r="R9" s="13" t="s">
        <v>31</v>
      </c>
      <c r="S9" s="7" t="s">
        <v>318</v>
      </c>
      <c r="T9" s="202"/>
      <c r="U9" s="203"/>
      <c r="V9" s="204"/>
      <c r="W9" s="22" t="s">
        <v>52</v>
      </c>
      <c r="X9" s="198"/>
      <c r="Y9" s="1"/>
    </row>
    <row r="10" spans="1:25" x14ac:dyDescent="0.3">
      <c r="A10" s="15" t="s">
        <v>162</v>
      </c>
      <c r="B10" s="95" t="s">
        <v>163</v>
      </c>
      <c r="C10" s="86" t="s">
        <v>388</v>
      </c>
      <c r="D10" s="77" t="s">
        <v>311</v>
      </c>
      <c r="E10" s="112">
        <v>115</v>
      </c>
      <c r="F10" s="77" t="s">
        <v>314</v>
      </c>
      <c r="G10" s="77">
        <v>8</v>
      </c>
      <c r="H10" s="112" t="s">
        <v>374</v>
      </c>
      <c r="I10" s="77" t="s">
        <v>379</v>
      </c>
      <c r="J10" s="77" t="str">
        <f t="shared" ref="J10:J41" si="2">D10&amp;E10&amp;F10&amp;G10&amp;H10</f>
        <v>AC1152CO8Да</v>
      </c>
      <c r="K10" s="103" t="s">
        <v>162</v>
      </c>
      <c r="Q10" s="13" t="s">
        <v>32</v>
      </c>
      <c r="R10" s="13" t="s">
        <v>33</v>
      </c>
      <c r="S10" s="7" t="s">
        <v>318</v>
      </c>
      <c r="T10" s="202"/>
      <c r="U10" s="203"/>
      <c r="V10" s="204"/>
      <c r="W10" s="22" t="s">
        <v>52</v>
      </c>
      <c r="X10" s="198"/>
      <c r="Y10" s="1"/>
    </row>
    <row r="11" spans="1:25" hidden="1" x14ac:dyDescent="0.3">
      <c r="A11" s="16" t="s">
        <v>148</v>
      </c>
      <c r="B11" s="94" t="s">
        <v>149</v>
      </c>
      <c r="C11" s="86" t="s">
        <v>386</v>
      </c>
      <c r="D11" s="77" t="s">
        <v>311</v>
      </c>
      <c r="E11" s="77">
        <v>115</v>
      </c>
      <c r="F11" s="77" t="s">
        <v>313</v>
      </c>
      <c r="G11" s="77">
        <v>12</v>
      </c>
      <c r="H11" s="112" t="s">
        <v>374</v>
      </c>
      <c r="I11" s="77" t="s">
        <v>379</v>
      </c>
      <c r="J11" s="112" t="str">
        <f t="shared" si="2"/>
        <v>AC1151CO12Да</v>
      </c>
      <c r="K11" s="102" t="s">
        <v>148</v>
      </c>
      <c r="Q11" s="13" t="s">
        <v>34</v>
      </c>
      <c r="R11" s="13" t="s">
        <v>35</v>
      </c>
      <c r="S11" s="7" t="s">
        <v>317</v>
      </c>
      <c r="T11" s="202"/>
      <c r="U11" s="203"/>
      <c r="V11" s="204"/>
      <c r="W11" s="22" t="s">
        <v>52</v>
      </c>
      <c r="X11" s="198"/>
      <c r="Y11" s="1"/>
    </row>
    <row r="12" spans="1:25" hidden="1" x14ac:dyDescent="0.3">
      <c r="A12" s="16" t="s">
        <v>146</v>
      </c>
      <c r="B12" s="94" t="s">
        <v>147</v>
      </c>
      <c r="C12" s="86" t="s">
        <v>386</v>
      </c>
      <c r="D12" s="77" t="s">
        <v>311</v>
      </c>
      <c r="E12" s="77">
        <v>115</v>
      </c>
      <c r="F12" s="77" t="s">
        <v>313</v>
      </c>
      <c r="G12" s="77">
        <v>12</v>
      </c>
      <c r="H12" s="112" t="s">
        <v>375</v>
      </c>
      <c r="I12" s="77" t="s">
        <v>331</v>
      </c>
      <c r="J12" s="112" t="str">
        <f t="shared" si="2"/>
        <v>AC1151CO12Нет</v>
      </c>
      <c r="K12" s="102" t="s">
        <v>146</v>
      </c>
      <c r="Q12" s="13" t="s">
        <v>36</v>
      </c>
      <c r="R12" s="13" t="s">
        <v>37</v>
      </c>
      <c r="S12" s="7" t="s">
        <v>317</v>
      </c>
      <c r="T12" s="202"/>
      <c r="U12" s="203"/>
      <c r="V12" s="204"/>
      <c r="W12" s="22" t="s">
        <v>52</v>
      </c>
      <c r="X12" s="198"/>
      <c r="Y12" s="1"/>
    </row>
    <row r="13" spans="1:25" hidden="1" x14ac:dyDescent="0.3">
      <c r="A13" s="17" t="s">
        <v>168</v>
      </c>
      <c r="B13" s="96" t="s">
        <v>169</v>
      </c>
      <c r="C13" s="86" t="s">
        <v>387</v>
      </c>
      <c r="D13" s="77" t="s">
        <v>311</v>
      </c>
      <c r="E13" s="77">
        <v>115</v>
      </c>
      <c r="F13" s="77" t="s">
        <v>313</v>
      </c>
      <c r="G13" s="77">
        <v>16</v>
      </c>
      <c r="H13" s="112" t="s">
        <v>375</v>
      </c>
      <c r="I13" s="77"/>
      <c r="J13" s="112" t="str">
        <f t="shared" si="2"/>
        <v>AC1151CO16Нет</v>
      </c>
      <c r="K13" s="106" t="s">
        <v>168</v>
      </c>
      <c r="Q13" s="13" t="s">
        <v>38</v>
      </c>
      <c r="R13" s="13" t="s">
        <v>39</v>
      </c>
      <c r="S13" s="7" t="s">
        <v>317</v>
      </c>
      <c r="T13" s="202"/>
      <c r="U13" s="203"/>
      <c r="V13" s="204"/>
      <c r="W13" s="22" t="s">
        <v>52</v>
      </c>
      <c r="X13" s="198"/>
      <c r="Y13" s="1"/>
    </row>
    <row r="14" spans="1:25" hidden="1" x14ac:dyDescent="0.3">
      <c r="A14" s="17" t="s">
        <v>176</v>
      </c>
      <c r="B14" s="96" t="s">
        <v>177</v>
      </c>
      <c r="C14" s="86" t="s">
        <v>387</v>
      </c>
      <c r="D14" s="77" t="s">
        <v>311</v>
      </c>
      <c r="E14" s="77">
        <v>115</v>
      </c>
      <c r="F14" s="77" t="s">
        <v>314</v>
      </c>
      <c r="G14" s="77">
        <v>8</v>
      </c>
      <c r="H14" s="112" t="s">
        <v>398</v>
      </c>
      <c r="I14" s="77"/>
      <c r="J14" s="112" t="str">
        <f t="shared" si="2"/>
        <v>AC1152CO8Нет2</v>
      </c>
      <c r="K14" s="106" t="s">
        <v>176</v>
      </c>
      <c r="Q14" s="13" t="s">
        <v>40</v>
      </c>
      <c r="R14" s="13" t="s">
        <v>41</v>
      </c>
      <c r="S14" s="7" t="s">
        <v>317</v>
      </c>
      <c r="T14" s="202"/>
      <c r="U14" s="203"/>
      <c r="V14" s="204"/>
      <c r="W14" s="22" t="s">
        <v>52</v>
      </c>
      <c r="X14" s="198"/>
      <c r="Y14" s="1"/>
    </row>
    <row r="15" spans="1:25" x14ac:dyDescent="0.3">
      <c r="A15" s="15" t="s">
        <v>160</v>
      </c>
      <c r="B15" s="95" t="s">
        <v>161</v>
      </c>
      <c r="C15" s="86" t="s">
        <v>388</v>
      </c>
      <c r="D15" s="77" t="s">
        <v>311</v>
      </c>
      <c r="E15" s="77">
        <v>115</v>
      </c>
      <c r="F15" s="77" t="s">
        <v>314</v>
      </c>
      <c r="G15" s="77">
        <v>8</v>
      </c>
      <c r="H15" s="112" t="s">
        <v>375</v>
      </c>
      <c r="I15" s="77" t="s">
        <v>331</v>
      </c>
      <c r="J15" s="112" t="str">
        <f t="shared" si="2"/>
        <v>AC1152CO8Нет</v>
      </c>
      <c r="K15" s="103" t="s">
        <v>160</v>
      </c>
      <c r="Q15" s="13" t="s">
        <v>42</v>
      </c>
      <c r="R15" s="13" t="s">
        <v>43</v>
      </c>
      <c r="S15" s="7" t="s">
        <v>317</v>
      </c>
      <c r="T15" s="205"/>
      <c r="U15" s="206"/>
      <c r="V15" s="207"/>
      <c r="W15" s="22" t="s">
        <v>52</v>
      </c>
      <c r="X15" s="198"/>
      <c r="Y15" s="1"/>
    </row>
    <row r="16" spans="1:25" x14ac:dyDescent="0.3">
      <c r="A16" s="15" t="s">
        <v>158</v>
      </c>
      <c r="B16" s="95" t="s">
        <v>159</v>
      </c>
      <c r="C16" s="86" t="s">
        <v>388</v>
      </c>
      <c r="D16" s="77" t="s">
        <v>311</v>
      </c>
      <c r="E16" s="77">
        <v>12</v>
      </c>
      <c r="F16" s="77" t="s">
        <v>314</v>
      </c>
      <c r="G16" s="77">
        <v>8</v>
      </c>
      <c r="H16" s="112" t="s">
        <v>374</v>
      </c>
      <c r="I16" s="77" t="s">
        <v>379</v>
      </c>
      <c r="J16" s="112" t="str">
        <f t="shared" si="2"/>
        <v>AC122CO8Да</v>
      </c>
      <c r="K16" s="103" t="s">
        <v>158</v>
      </c>
    </row>
    <row r="17" spans="1:11" x14ac:dyDescent="0.3">
      <c r="A17" s="15" t="s">
        <v>156</v>
      </c>
      <c r="B17" s="95" t="s">
        <v>157</v>
      </c>
      <c r="C17" s="86" t="s">
        <v>388</v>
      </c>
      <c r="D17" s="77" t="s">
        <v>311</v>
      </c>
      <c r="E17" s="77">
        <v>12</v>
      </c>
      <c r="F17" s="77" t="s">
        <v>314</v>
      </c>
      <c r="G17" s="77">
        <v>8</v>
      </c>
      <c r="H17" s="112" t="s">
        <v>375</v>
      </c>
      <c r="I17" s="77" t="s">
        <v>331</v>
      </c>
      <c r="J17" s="112" t="str">
        <f t="shared" si="2"/>
        <v>AC122CO8Нет</v>
      </c>
      <c r="K17" s="103" t="s">
        <v>156</v>
      </c>
    </row>
    <row r="18" spans="1:11" hidden="1" x14ac:dyDescent="0.3">
      <c r="A18" s="19" t="s">
        <v>228</v>
      </c>
      <c r="B18" s="99" t="s">
        <v>229</v>
      </c>
      <c r="C18" s="86" t="s">
        <v>390</v>
      </c>
      <c r="D18" s="77" t="s">
        <v>311</v>
      </c>
      <c r="E18" s="77">
        <v>115</v>
      </c>
      <c r="F18" s="77" t="s">
        <v>316</v>
      </c>
      <c r="G18" s="77">
        <v>16</v>
      </c>
      <c r="H18" s="112" t="s">
        <v>374</v>
      </c>
      <c r="I18" s="77" t="s">
        <v>379</v>
      </c>
      <c r="J18" s="112" t="str">
        <f t="shared" si="2"/>
        <v>AC1153CO16Да</v>
      </c>
      <c r="K18" s="105" t="s">
        <v>228</v>
      </c>
    </row>
    <row r="19" spans="1:11" hidden="1" x14ac:dyDescent="0.3">
      <c r="A19" s="18" t="s">
        <v>198</v>
      </c>
      <c r="B19" s="97" t="s">
        <v>199</v>
      </c>
      <c r="C19" s="86" t="s">
        <v>389</v>
      </c>
      <c r="D19" s="77" t="s">
        <v>311</v>
      </c>
      <c r="E19" s="77">
        <v>115</v>
      </c>
      <c r="F19" s="77" t="s">
        <v>315</v>
      </c>
      <c r="G19" s="77">
        <v>5</v>
      </c>
      <c r="H19" s="112" t="s">
        <v>375</v>
      </c>
      <c r="I19" s="77" t="s">
        <v>331</v>
      </c>
      <c r="J19" s="112" t="str">
        <f t="shared" si="2"/>
        <v>AC1154CO5Нет</v>
      </c>
      <c r="K19" s="107" t="s">
        <v>198</v>
      </c>
    </row>
    <row r="20" spans="1:11" hidden="1" x14ac:dyDescent="0.3">
      <c r="A20" s="18" t="s">
        <v>200</v>
      </c>
      <c r="B20" s="97" t="s">
        <v>201</v>
      </c>
      <c r="C20" s="86" t="s">
        <v>389</v>
      </c>
      <c r="D20" s="77" t="s">
        <v>311</v>
      </c>
      <c r="E20" s="77">
        <v>115</v>
      </c>
      <c r="F20" s="77" t="s">
        <v>315</v>
      </c>
      <c r="G20" s="77">
        <v>6</v>
      </c>
      <c r="H20" s="112" t="s">
        <v>374</v>
      </c>
      <c r="I20" s="77" t="s">
        <v>379</v>
      </c>
      <c r="J20" s="112" t="str">
        <f t="shared" si="2"/>
        <v>AC1154CO6Да</v>
      </c>
      <c r="K20" s="107" t="s">
        <v>200</v>
      </c>
    </row>
    <row r="21" spans="1:11" hidden="1" x14ac:dyDescent="0.3">
      <c r="A21" s="16" t="s">
        <v>144</v>
      </c>
      <c r="B21" s="94" t="s">
        <v>145</v>
      </c>
      <c r="C21" s="86" t="s">
        <v>386</v>
      </c>
      <c r="D21" s="77" t="s">
        <v>311</v>
      </c>
      <c r="E21" s="77">
        <v>12</v>
      </c>
      <c r="F21" s="77" t="s">
        <v>313</v>
      </c>
      <c r="G21" s="77">
        <v>12</v>
      </c>
      <c r="H21" s="112" t="s">
        <v>374</v>
      </c>
      <c r="I21" s="77" t="s">
        <v>379</v>
      </c>
      <c r="J21" s="112" t="str">
        <f t="shared" si="2"/>
        <v>AC121CO12Да</v>
      </c>
      <c r="K21" s="102" t="s">
        <v>144</v>
      </c>
    </row>
    <row r="22" spans="1:11" hidden="1" x14ac:dyDescent="0.3">
      <c r="A22" s="16" t="s">
        <v>142</v>
      </c>
      <c r="B22" s="94" t="s">
        <v>143</v>
      </c>
      <c r="C22" s="86" t="s">
        <v>386</v>
      </c>
      <c r="D22" s="77" t="s">
        <v>311</v>
      </c>
      <c r="E22" s="112">
        <v>12</v>
      </c>
      <c r="F22" s="112" t="s">
        <v>313</v>
      </c>
      <c r="G22" s="77">
        <v>12</v>
      </c>
      <c r="H22" s="112" t="s">
        <v>375</v>
      </c>
      <c r="I22" s="77" t="s">
        <v>331</v>
      </c>
      <c r="J22" s="112" t="str">
        <f t="shared" si="2"/>
        <v>AC121CO12Нет</v>
      </c>
      <c r="K22" s="102" t="s">
        <v>142</v>
      </c>
    </row>
    <row r="23" spans="1:11" x14ac:dyDescent="0.3">
      <c r="A23" s="15" t="s">
        <v>102</v>
      </c>
      <c r="B23" s="95" t="s">
        <v>103</v>
      </c>
      <c r="C23" s="86" t="s">
        <v>388</v>
      </c>
      <c r="D23" s="77" t="s">
        <v>311</v>
      </c>
      <c r="E23" s="77">
        <v>230</v>
      </c>
      <c r="F23" s="77" t="s">
        <v>314</v>
      </c>
      <c r="G23" s="77">
        <v>8</v>
      </c>
      <c r="H23" s="112" t="s">
        <v>374</v>
      </c>
      <c r="I23" s="77" t="s">
        <v>379</v>
      </c>
      <c r="J23" s="112" t="str">
        <f t="shared" si="2"/>
        <v>AC2302CO8Да</v>
      </c>
      <c r="K23" s="103" t="s">
        <v>102</v>
      </c>
    </row>
    <row r="24" spans="1:11" hidden="1" x14ac:dyDescent="0.3">
      <c r="A24" s="17" t="s">
        <v>110</v>
      </c>
      <c r="B24" s="96" t="s">
        <v>111</v>
      </c>
      <c r="C24" s="86" t="s">
        <v>387</v>
      </c>
      <c r="D24" s="77" t="s">
        <v>311</v>
      </c>
      <c r="E24" s="77">
        <v>230</v>
      </c>
      <c r="F24" s="77" t="s">
        <v>314</v>
      </c>
      <c r="G24" s="77">
        <v>8</v>
      </c>
      <c r="H24" s="112" t="s">
        <v>398</v>
      </c>
      <c r="I24" s="77"/>
      <c r="J24" s="112" t="str">
        <f t="shared" si="2"/>
        <v>AC2302CO8Нет2</v>
      </c>
      <c r="K24" s="106" t="s">
        <v>110</v>
      </c>
    </row>
    <row r="25" spans="1:11" x14ac:dyDescent="0.3">
      <c r="A25" s="15" t="s">
        <v>100</v>
      </c>
      <c r="B25" s="95" t="s">
        <v>101</v>
      </c>
      <c r="C25" s="86" t="s">
        <v>388</v>
      </c>
      <c r="D25" s="77" t="s">
        <v>311</v>
      </c>
      <c r="E25" s="77">
        <v>230</v>
      </c>
      <c r="F25" s="77" t="s">
        <v>314</v>
      </c>
      <c r="G25" s="77">
        <v>8</v>
      </c>
      <c r="H25" s="112" t="s">
        <v>375</v>
      </c>
      <c r="I25" s="77" t="s">
        <v>331</v>
      </c>
      <c r="J25" s="112" t="str">
        <f t="shared" si="2"/>
        <v>AC2302CO8Нет</v>
      </c>
      <c r="K25" s="103" t="s">
        <v>100</v>
      </c>
    </row>
    <row r="26" spans="1:11" x14ac:dyDescent="0.3">
      <c r="A26" s="15" t="s">
        <v>98</v>
      </c>
      <c r="B26" s="95" t="s">
        <v>99</v>
      </c>
      <c r="C26" s="86" t="s">
        <v>388</v>
      </c>
      <c r="D26" s="77" t="s">
        <v>311</v>
      </c>
      <c r="E26" s="77">
        <v>24</v>
      </c>
      <c r="F26" s="77" t="s">
        <v>314</v>
      </c>
      <c r="G26" s="77">
        <v>8</v>
      </c>
      <c r="H26" s="112" t="s">
        <v>374</v>
      </c>
      <c r="I26" s="77" t="s">
        <v>379</v>
      </c>
      <c r="J26" s="112" t="str">
        <f t="shared" si="2"/>
        <v>AC242CO8Да</v>
      </c>
      <c r="K26" s="103" t="s">
        <v>98</v>
      </c>
    </row>
    <row r="27" spans="1:11" hidden="1" x14ac:dyDescent="0.3">
      <c r="A27" s="19" t="s">
        <v>226</v>
      </c>
      <c r="B27" s="99" t="s">
        <v>227</v>
      </c>
      <c r="C27" s="86" t="s">
        <v>390</v>
      </c>
      <c r="D27" s="77" t="s">
        <v>311</v>
      </c>
      <c r="E27" s="112">
        <v>12</v>
      </c>
      <c r="F27" s="77" t="s">
        <v>316</v>
      </c>
      <c r="G27" s="77">
        <v>16</v>
      </c>
      <c r="H27" s="112" t="s">
        <v>374</v>
      </c>
      <c r="I27" s="77" t="s">
        <v>379</v>
      </c>
      <c r="J27" s="112" t="str">
        <f t="shared" si="2"/>
        <v>AC123CO16Да</v>
      </c>
      <c r="K27" s="105" t="s">
        <v>226</v>
      </c>
    </row>
    <row r="28" spans="1:11" hidden="1" x14ac:dyDescent="0.3">
      <c r="A28" s="18" t="s">
        <v>190</v>
      </c>
      <c r="B28" s="97" t="s">
        <v>191</v>
      </c>
      <c r="C28" s="86" t="s">
        <v>389</v>
      </c>
      <c r="D28" s="77" t="s">
        <v>311</v>
      </c>
      <c r="E28" s="77">
        <v>12</v>
      </c>
      <c r="F28" s="77" t="s">
        <v>315</v>
      </c>
      <c r="G28" s="77">
        <v>5</v>
      </c>
      <c r="H28" s="112" t="s">
        <v>375</v>
      </c>
      <c r="I28" s="77" t="s">
        <v>331</v>
      </c>
      <c r="J28" s="112" t="str">
        <f t="shared" si="2"/>
        <v>AC124CO5Нет</v>
      </c>
      <c r="K28" s="107" t="s">
        <v>190</v>
      </c>
    </row>
    <row r="29" spans="1:11" hidden="1" x14ac:dyDescent="0.3">
      <c r="A29" s="18" t="s">
        <v>192</v>
      </c>
      <c r="B29" s="97" t="s">
        <v>193</v>
      </c>
      <c r="C29" s="86" t="s">
        <v>389</v>
      </c>
      <c r="D29" s="77" t="s">
        <v>311</v>
      </c>
      <c r="E29" s="77">
        <v>12</v>
      </c>
      <c r="F29" s="77" t="s">
        <v>315</v>
      </c>
      <c r="G29" s="77">
        <v>6</v>
      </c>
      <c r="H29" s="112" t="s">
        <v>374</v>
      </c>
      <c r="I29" s="77" t="s">
        <v>379</v>
      </c>
      <c r="J29" s="112" t="str">
        <f t="shared" si="2"/>
        <v>AC124CO6Да</v>
      </c>
      <c r="K29" s="107" t="s">
        <v>192</v>
      </c>
    </row>
    <row r="30" spans="1:11" hidden="1" x14ac:dyDescent="0.3">
      <c r="A30" s="16" t="s">
        <v>92</v>
      </c>
      <c r="B30" s="94" t="s">
        <v>93</v>
      </c>
      <c r="C30" s="86" t="s">
        <v>386</v>
      </c>
      <c r="D30" s="77" t="s">
        <v>311</v>
      </c>
      <c r="E30" s="77">
        <v>230</v>
      </c>
      <c r="F30" s="77" t="s">
        <v>313</v>
      </c>
      <c r="G30" s="77">
        <v>12</v>
      </c>
      <c r="H30" s="112" t="s">
        <v>374</v>
      </c>
      <c r="I30" s="77" t="s">
        <v>379</v>
      </c>
      <c r="J30" s="112" t="str">
        <f t="shared" si="2"/>
        <v>AC2301CO12Да</v>
      </c>
      <c r="K30" s="102" t="s">
        <v>92</v>
      </c>
    </row>
    <row r="31" spans="1:11" hidden="1" x14ac:dyDescent="0.3">
      <c r="A31" s="16" t="s">
        <v>90</v>
      </c>
      <c r="B31" s="94" t="s">
        <v>91</v>
      </c>
      <c r="C31" s="86" t="s">
        <v>386</v>
      </c>
      <c r="D31" s="77" t="s">
        <v>311</v>
      </c>
      <c r="E31" s="77">
        <v>230</v>
      </c>
      <c r="F31" s="77" t="s">
        <v>313</v>
      </c>
      <c r="G31" s="77">
        <v>12</v>
      </c>
      <c r="H31" s="112" t="s">
        <v>375</v>
      </c>
      <c r="I31" s="77" t="s">
        <v>331</v>
      </c>
      <c r="J31" s="112" t="str">
        <f t="shared" si="2"/>
        <v>AC2301CO12Нет</v>
      </c>
      <c r="K31" s="102" t="s">
        <v>90</v>
      </c>
    </row>
    <row r="32" spans="1:11" hidden="1" x14ac:dyDescent="0.3">
      <c r="A32" s="17" t="s">
        <v>178</v>
      </c>
      <c r="B32" s="96" t="s">
        <v>179</v>
      </c>
      <c r="C32" s="86" t="s">
        <v>387</v>
      </c>
      <c r="D32" s="77" t="s">
        <v>311</v>
      </c>
      <c r="E32" s="77">
        <v>230</v>
      </c>
      <c r="F32" s="77" t="s">
        <v>313</v>
      </c>
      <c r="G32" s="77">
        <v>16</v>
      </c>
      <c r="H32" s="112" t="s">
        <v>375</v>
      </c>
      <c r="I32" s="77"/>
      <c r="J32" s="112" t="str">
        <f t="shared" si="2"/>
        <v>AC2301CO16Нет</v>
      </c>
      <c r="K32" s="106" t="s">
        <v>178</v>
      </c>
    </row>
    <row r="33" spans="1:15" hidden="1" x14ac:dyDescent="0.3">
      <c r="A33" s="17" t="s">
        <v>108</v>
      </c>
      <c r="B33" s="96" t="s">
        <v>109</v>
      </c>
      <c r="C33" s="86" t="s">
        <v>387</v>
      </c>
      <c r="D33" s="77" t="s">
        <v>311</v>
      </c>
      <c r="E33" s="77">
        <v>24</v>
      </c>
      <c r="F33" s="77" t="s">
        <v>314</v>
      </c>
      <c r="G33" s="77">
        <v>8</v>
      </c>
      <c r="H33" s="112" t="s">
        <v>398</v>
      </c>
      <c r="I33" s="77"/>
      <c r="J33" s="112" t="str">
        <f t="shared" si="2"/>
        <v>AC242CO8Нет2</v>
      </c>
      <c r="K33" s="106" t="s">
        <v>108</v>
      </c>
    </row>
    <row r="34" spans="1:15" x14ac:dyDescent="0.3">
      <c r="A34" s="15" t="s">
        <v>136</v>
      </c>
      <c r="B34" s="95" t="s">
        <v>137</v>
      </c>
      <c r="C34" s="86" t="s">
        <v>388</v>
      </c>
      <c r="D34" s="77" t="s">
        <v>311</v>
      </c>
      <c r="E34" s="77">
        <v>24</v>
      </c>
      <c r="F34" s="77" t="s">
        <v>314</v>
      </c>
      <c r="G34" s="77">
        <v>8</v>
      </c>
      <c r="H34" s="112" t="s">
        <v>375</v>
      </c>
      <c r="I34" s="77" t="s">
        <v>331</v>
      </c>
      <c r="J34" s="112" t="str">
        <f t="shared" si="2"/>
        <v>AC242CO8Нет</v>
      </c>
      <c r="K34" s="103" t="s">
        <v>136</v>
      </c>
    </row>
    <row r="35" spans="1:15" x14ac:dyDescent="0.3">
      <c r="A35" s="15" t="s">
        <v>152</v>
      </c>
      <c r="B35" s="95" t="s">
        <v>153</v>
      </c>
      <c r="C35" s="86" t="s">
        <v>388</v>
      </c>
      <c r="D35" s="77" t="s">
        <v>310</v>
      </c>
      <c r="E35" s="77">
        <v>12</v>
      </c>
      <c r="F35" s="77" t="s">
        <v>314</v>
      </c>
      <c r="G35" s="77">
        <v>8</v>
      </c>
      <c r="H35" s="112" t="s">
        <v>374</v>
      </c>
      <c r="I35" s="77" t="s">
        <v>378</v>
      </c>
      <c r="J35" s="112" t="str">
        <f t="shared" si="2"/>
        <v>DC122CO8Да</v>
      </c>
      <c r="K35" s="103" t="s">
        <v>152</v>
      </c>
    </row>
    <row r="36" spans="1:15" hidden="1" x14ac:dyDescent="0.3">
      <c r="A36" s="17" t="s">
        <v>170</v>
      </c>
      <c r="B36" s="96" t="s">
        <v>171</v>
      </c>
      <c r="C36" s="86" t="s">
        <v>387</v>
      </c>
      <c r="D36" s="77" t="s">
        <v>310</v>
      </c>
      <c r="E36" s="77">
        <v>12</v>
      </c>
      <c r="F36" s="77" t="s">
        <v>314</v>
      </c>
      <c r="G36" s="77">
        <v>8</v>
      </c>
      <c r="H36" s="112" t="s">
        <v>398</v>
      </c>
      <c r="I36" s="77"/>
      <c r="J36" s="112" t="str">
        <f t="shared" si="2"/>
        <v>DC122CO8Нет2</v>
      </c>
      <c r="K36" s="106" t="s">
        <v>170</v>
      </c>
    </row>
    <row r="37" spans="1:15" x14ac:dyDescent="0.3">
      <c r="A37" s="15" t="s">
        <v>150</v>
      </c>
      <c r="B37" s="95" t="s">
        <v>151</v>
      </c>
      <c r="C37" s="86" t="s">
        <v>388</v>
      </c>
      <c r="D37" s="77" t="s">
        <v>310</v>
      </c>
      <c r="E37" s="77">
        <v>12</v>
      </c>
      <c r="F37" s="77" t="s">
        <v>314</v>
      </c>
      <c r="G37" s="77">
        <v>8</v>
      </c>
      <c r="H37" s="112" t="s">
        <v>375</v>
      </c>
      <c r="I37" s="77" t="s">
        <v>331</v>
      </c>
      <c r="J37" s="112" t="str">
        <f t="shared" si="2"/>
        <v>DC122CO8Нет</v>
      </c>
      <c r="K37" s="103" t="s">
        <v>150</v>
      </c>
    </row>
    <row r="38" spans="1:15" hidden="1" x14ac:dyDescent="0.3">
      <c r="A38" s="19" t="s">
        <v>130</v>
      </c>
      <c r="B38" s="99" t="s">
        <v>131</v>
      </c>
      <c r="C38" s="86" t="s">
        <v>390</v>
      </c>
      <c r="D38" s="77" t="s">
        <v>311</v>
      </c>
      <c r="E38" s="77">
        <v>230</v>
      </c>
      <c r="F38" s="77" t="s">
        <v>316</v>
      </c>
      <c r="G38" s="77">
        <v>16</v>
      </c>
      <c r="H38" s="112" t="s">
        <v>374</v>
      </c>
      <c r="I38" s="77" t="s">
        <v>379</v>
      </c>
      <c r="J38" s="112" t="str">
        <f t="shared" si="2"/>
        <v>AC2303CO16Да</v>
      </c>
      <c r="K38" s="105" t="s">
        <v>130</v>
      </c>
    </row>
    <row r="39" spans="1:15" hidden="1" x14ac:dyDescent="0.3">
      <c r="A39" s="18" t="s">
        <v>116</v>
      </c>
      <c r="B39" s="97" t="s">
        <v>117</v>
      </c>
      <c r="C39" s="86" t="s">
        <v>389</v>
      </c>
      <c r="D39" s="77" t="s">
        <v>311</v>
      </c>
      <c r="E39" s="77">
        <v>230</v>
      </c>
      <c r="F39" s="77" t="s">
        <v>315</v>
      </c>
      <c r="G39" s="77">
        <v>5</v>
      </c>
      <c r="H39" s="112" t="s">
        <v>375</v>
      </c>
      <c r="I39" s="77" t="s">
        <v>331</v>
      </c>
      <c r="J39" s="112" t="str">
        <f t="shared" si="2"/>
        <v>AC2304CO5Нет</v>
      </c>
      <c r="K39" s="107" t="s">
        <v>116</v>
      </c>
    </row>
    <row r="40" spans="1:15" hidden="1" x14ac:dyDescent="0.3">
      <c r="A40" s="18" t="s">
        <v>118</v>
      </c>
      <c r="B40" s="97" t="s">
        <v>119</v>
      </c>
      <c r="C40" s="86" t="s">
        <v>389</v>
      </c>
      <c r="D40" s="77" t="s">
        <v>311</v>
      </c>
      <c r="E40" s="77">
        <v>230</v>
      </c>
      <c r="F40" s="77" t="s">
        <v>315</v>
      </c>
      <c r="G40" s="77">
        <v>6</v>
      </c>
      <c r="H40" s="112" t="s">
        <v>374</v>
      </c>
      <c r="I40" s="77" t="s">
        <v>379</v>
      </c>
      <c r="J40" s="112" t="str">
        <f t="shared" si="2"/>
        <v>AC2304CO6Да</v>
      </c>
      <c r="K40" s="107" t="s">
        <v>118</v>
      </c>
    </row>
    <row r="41" spans="1:15" hidden="1" x14ac:dyDescent="0.3">
      <c r="A41" s="16" t="s">
        <v>134</v>
      </c>
      <c r="B41" s="94" t="s">
        <v>135</v>
      </c>
      <c r="C41" s="86" t="s">
        <v>386</v>
      </c>
      <c r="D41" s="77" t="s">
        <v>311</v>
      </c>
      <c r="E41" s="77">
        <v>24</v>
      </c>
      <c r="F41" s="77" t="s">
        <v>313</v>
      </c>
      <c r="G41" s="77">
        <v>12</v>
      </c>
      <c r="H41" s="112" t="s">
        <v>374</v>
      </c>
      <c r="I41" s="77" t="s">
        <v>379</v>
      </c>
      <c r="J41" s="112" t="str">
        <f t="shared" si="2"/>
        <v>AC241CO12Да</v>
      </c>
      <c r="K41" s="102" t="s">
        <v>134</v>
      </c>
    </row>
    <row r="42" spans="1:15" hidden="1" x14ac:dyDescent="0.3">
      <c r="A42" s="16" t="s">
        <v>132</v>
      </c>
      <c r="B42" s="94" t="s">
        <v>133</v>
      </c>
      <c r="C42" s="86" t="s">
        <v>386</v>
      </c>
      <c r="D42" s="77" t="s">
        <v>311</v>
      </c>
      <c r="E42" s="112">
        <v>24</v>
      </c>
      <c r="F42" s="112" t="s">
        <v>313</v>
      </c>
      <c r="G42" s="77">
        <v>12</v>
      </c>
      <c r="H42" s="112" t="s">
        <v>375</v>
      </c>
      <c r="I42" s="77" t="s">
        <v>331</v>
      </c>
      <c r="J42" s="112" t="str">
        <f t="shared" ref="J42:J73" si="3">D42&amp;E42&amp;F42&amp;G42&amp;H42</f>
        <v>AC241CO12Нет</v>
      </c>
      <c r="K42" s="102" t="s">
        <v>132</v>
      </c>
    </row>
    <row r="43" spans="1:15" hidden="1" x14ac:dyDescent="0.3">
      <c r="A43" s="17" t="s">
        <v>166</v>
      </c>
      <c r="B43" s="96" t="s">
        <v>167</v>
      </c>
      <c r="C43" s="86" t="s">
        <v>387</v>
      </c>
      <c r="D43" s="77" t="s">
        <v>311</v>
      </c>
      <c r="E43" s="77">
        <v>24</v>
      </c>
      <c r="F43" s="77" t="s">
        <v>313</v>
      </c>
      <c r="G43" s="77">
        <v>16</v>
      </c>
      <c r="H43" s="112" t="s">
        <v>375</v>
      </c>
      <c r="I43" s="77"/>
      <c r="J43" s="112" t="str">
        <f t="shared" si="3"/>
        <v>AC241CO16Нет</v>
      </c>
      <c r="K43" s="106" t="s">
        <v>166</v>
      </c>
    </row>
    <row r="44" spans="1:15" x14ac:dyDescent="0.3">
      <c r="A44" s="15" t="s">
        <v>96</v>
      </c>
      <c r="B44" s="95" t="s">
        <v>97</v>
      </c>
      <c r="C44" s="86" t="s">
        <v>388</v>
      </c>
      <c r="D44" s="77" t="s">
        <v>310</v>
      </c>
      <c r="E44" s="77">
        <v>24</v>
      </c>
      <c r="F44" s="77" t="s">
        <v>314</v>
      </c>
      <c r="G44" s="77">
        <v>8</v>
      </c>
      <c r="H44" s="112" t="s">
        <v>374</v>
      </c>
      <c r="I44" s="77" t="s">
        <v>378</v>
      </c>
      <c r="J44" s="112" t="str">
        <f t="shared" si="3"/>
        <v>DC242CO8Да</v>
      </c>
      <c r="K44" s="103" t="s">
        <v>96</v>
      </c>
    </row>
    <row r="45" spans="1:15" hidden="1" x14ac:dyDescent="0.3">
      <c r="A45" s="17" t="s">
        <v>106</v>
      </c>
      <c r="B45" s="96" t="s">
        <v>107</v>
      </c>
      <c r="C45" s="86" t="s">
        <v>387</v>
      </c>
      <c r="D45" s="77" t="s">
        <v>310</v>
      </c>
      <c r="E45" s="77">
        <v>24</v>
      </c>
      <c r="F45" s="77" t="s">
        <v>314</v>
      </c>
      <c r="G45" s="77">
        <v>8</v>
      </c>
      <c r="H45" s="112" t="s">
        <v>398</v>
      </c>
      <c r="I45" s="77"/>
      <c r="J45" s="112" t="str">
        <f t="shared" si="3"/>
        <v>DC242CO8Нет2</v>
      </c>
      <c r="K45" s="106" t="s">
        <v>106</v>
      </c>
    </row>
    <row r="46" spans="1:15" x14ac:dyDescent="0.3">
      <c r="A46" s="15" t="s">
        <v>94</v>
      </c>
      <c r="B46" s="95" t="s">
        <v>95</v>
      </c>
      <c r="C46" s="86" t="s">
        <v>388</v>
      </c>
      <c r="D46" s="77" t="s">
        <v>310</v>
      </c>
      <c r="E46" s="112">
        <v>24</v>
      </c>
      <c r="F46" s="112" t="s">
        <v>314</v>
      </c>
      <c r="G46" s="77">
        <v>8</v>
      </c>
      <c r="H46" s="112" t="s">
        <v>375</v>
      </c>
      <c r="I46" s="77" t="s">
        <v>331</v>
      </c>
      <c r="J46" s="112" t="str">
        <f t="shared" si="3"/>
        <v>DC242CO8Нет</v>
      </c>
      <c r="K46" s="103" t="s">
        <v>94</v>
      </c>
    </row>
    <row r="47" spans="1:15" hidden="1" x14ac:dyDescent="0.3">
      <c r="A47" s="17" t="s">
        <v>172</v>
      </c>
      <c r="B47" s="96" t="s">
        <v>173</v>
      </c>
      <c r="C47" s="86" t="s">
        <v>387</v>
      </c>
      <c r="D47" s="77" t="s">
        <v>310</v>
      </c>
      <c r="E47" s="105">
        <v>48</v>
      </c>
      <c r="F47" s="77" t="s">
        <v>314</v>
      </c>
      <c r="G47" s="77">
        <v>8</v>
      </c>
      <c r="H47" s="112" t="s">
        <v>375</v>
      </c>
      <c r="I47" s="77"/>
      <c r="J47" s="112" t="str">
        <f t="shared" si="3"/>
        <v>DC482CO8Нет</v>
      </c>
      <c r="K47" s="106" t="s">
        <v>172</v>
      </c>
      <c r="M47" s="121"/>
      <c r="O47" s="121"/>
    </row>
    <row r="48" spans="1:15" x14ac:dyDescent="0.3">
      <c r="A48" s="15" t="s">
        <v>154</v>
      </c>
      <c r="B48" s="95" t="s">
        <v>155</v>
      </c>
      <c r="C48" s="86" t="s">
        <v>388</v>
      </c>
      <c r="D48" s="77" t="s">
        <v>310</v>
      </c>
      <c r="E48" s="104">
        <v>110</v>
      </c>
      <c r="F48" s="105" t="s">
        <v>314</v>
      </c>
      <c r="G48" s="77">
        <v>8</v>
      </c>
      <c r="H48" s="112" t="s">
        <v>374</v>
      </c>
      <c r="I48" s="77" t="s">
        <v>378</v>
      </c>
      <c r="J48" s="112" t="str">
        <f t="shared" si="3"/>
        <v>DC1102CO8Да</v>
      </c>
      <c r="K48" s="103" t="s">
        <v>154</v>
      </c>
    </row>
    <row r="49" spans="1:15" hidden="1" x14ac:dyDescent="0.3">
      <c r="A49" s="19" t="s">
        <v>128</v>
      </c>
      <c r="B49" s="99" t="s">
        <v>129</v>
      </c>
      <c r="C49" s="86" t="s">
        <v>390</v>
      </c>
      <c r="D49" s="77" t="s">
        <v>311</v>
      </c>
      <c r="E49" s="77">
        <v>24</v>
      </c>
      <c r="F49" s="77" t="s">
        <v>316</v>
      </c>
      <c r="G49" s="77">
        <v>16</v>
      </c>
      <c r="H49" s="112" t="s">
        <v>374</v>
      </c>
      <c r="I49" s="77" t="s">
        <v>379</v>
      </c>
      <c r="J49" s="112" t="str">
        <f t="shared" si="3"/>
        <v>AC243CO16Да</v>
      </c>
      <c r="K49" s="105" t="s">
        <v>128</v>
      </c>
    </row>
    <row r="50" spans="1:15" hidden="1" x14ac:dyDescent="0.3">
      <c r="A50" s="18" t="s">
        <v>194</v>
      </c>
      <c r="B50" s="97" t="s">
        <v>195</v>
      </c>
      <c r="C50" s="86" t="s">
        <v>389</v>
      </c>
      <c r="D50" s="77" t="s">
        <v>311</v>
      </c>
      <c r="E50" s="77">
        <v>24</v>
      </c>
      <c r="F50" s="77" t="s">
        <v>315</v>
      </c>
      <c r="G50" s="77">
        <v>5</v>
      </c>
      <c r="H50" s="112" t="s">
        <v>375</v>
      </c>
      <c r="I50" s="77" t="s">
        <v>331</v>
      </c>
      <c r="J50" s="112" t="str">
        <f t="shared" si="3"/>
        <v>AC244CO5Нет</v>
      </c>
      <c r="K50" s="107" t="s">
        <v>194</v>
      </c>
    </row>
    <row r="51" spans="1:15" hidden="1" x14ac:dyDescent="0.3">
      <c r="A51" s="18" t="s">
        <v>196</v>
      </c>
      <c r="B51" s="97" t="s">
        <v>197</v>
      </c>
      <c r="C51" s="86" t="s">
        <v>389</v>
      </c>
      <c r="D51" s="77" t="s">
        <v>311</v>
      </c>
      <c r="E51" s="77">
        <v>24</v>
      </c>
      <c r="F51" s="77" t="s">
        <v>315</v>
      </c>
      <c r="G51" s="77">
        <v>6</v>
      </c>
      <c r="H51" s="112" t="s">
        <v>374</v>
      </c>
      <c r="I51" s="77" t="s">
        <v>379</v>
      </c>
      <c r="J51" s="112" t="str">
        <f t="shared" si="3"/>
        <v>AC244CO6Да</v>
      </c>
      <c r="K51" s="107" t="s">
        <v>196</v>
      </c>
    </row>
    <row r="52" spans="1:15" hidden="1" x14ac:dyDescent="0.3">
      <c r="A52" s="16" t="s">
        <v>140</v>
      </c>
      <c r="B52" s="94" t="s">
        <v>141</v>
      </c>
      <c r="C52" s="86" t="s">
        <v>386</v>
      </c>
      <c r="D52" s="77" t="s">
        <v>310</v>
      </c>
      <c r="E52" s="112">
        <v>12</v>
      </c>
      <c r="F52" s="112" t="s">
        <v>313</v>
      </c>
      <c r="G52" s="77">
        <v>12</v>
      </c>
      <c r="H52" s="112" t="s">
        <v>374</v>
      </c>
      <c r="I52" s="77" t="s">
        <v>378</v>
      </c>
      <c r="J52" s="112" t="str">
        <f t="shared" si="3"/>
        <v>DC121CO12Да</v>
      </c>
      <c r="K52" s="102" t="s">
        <v>140</v>
      </c>
    </row>
    <row r="53" spans="1:15" hidden="1" x14ac:dyDescent="0.3">
      <c r="A53" s="16" t="s">
        <v>138</v>
      </c>
      <c r="B53" s="94" t="s">
        <v>139</v>
      </c>
      <c r="C53" s="86" t="s">
        <v>386</v>
      </c>
      <c r="D53" s="77" t="s">
        <v>310</v>
      </c>
      <c r="E53" s="112">
        <v>12</v>
      </c>
      <c r="F53" s="112" t="s">
        <v>313</v>
      </c>
      <c r="G53" s="77">
        <v>12</v>
      </c>
      <c r="H53" s="112" t="s">
        <v>375</v>
      </c>
      <c r="I53" s="77" t="s">
        <v>331</v>
      </c>
      <c r="J53" s="112" t="str">
        <f t="shared" si="3"/>
        <v>DC121CO12Нет</v>
      </c>
      <c r="K53" s="102" t="s">
        <v>138</v>
      </c>
    </row>
    <row r="54" spans="1:15" hidden="1" x14ac:dyDescent="0.3">
      <c r="A54" s="17" t="s">
        <v>164</v>
      </c>
      <c r="B54" s="96" t="s">
        <v>165</v>
      </c>
      <c r="C54" s="86" t="s">
        <v>387</v>
      </c>
      <c r="D54" s="77" t="s">
        <v>310</v>
      </c>
      <c r="E54" s="112">
        <v>12</v>
      </c>
      <c r="F54" s="112" t="s">
        <v>313</v>
      </c>
      <c r="G54" s="77">
        <v>16</v>
      </c>
      <c r="H54" s="112" t="s">
        <v>375</v>
      </c>
      <c r="I54" s="77"/>
      <c r="J54" s="112" t="str">
        <f t="shared" si="3"/>
        <v>DC121CO16Нет</v>
      </c>
      <c r="K54" s="106" t="s">
        <v>164</v>
      </c>
    </row>
    <row r="55" spans="1:15" hidden="1" x14ac:dyDescent="0.3">
      <c r="A55" s="17" t="s">
        <v>174</v>
      </c>
      <c r="B55" s="96" t="s">
        <v>175</v>
      </c>
      <c r="C55" s="86" t="s">
        <v>387</v>
      </c>
      <c r="D55" s="77" t="s">
        <v>310</v>
      </c>
      <c r="E55" s="104">
        <v>110</v>
      </c>
      <c r="F55" s="105" t="s">
        <v>314</v>
      </c>
      <c r="G55" s="77">
        <v>8</v>
      </c>
      <c r="H55" s="112" t="s">
        <v>375</v>
      </c>
      <c r="I55" s="77"/>
      <c r="J55" s="112" t="str">
        <f t="shared" si="3"/>
        <v>DC1102CO8Нет</v>
      </c>
      <c r="K55" s="106" t="s">
        <v>174</v>
      </c>
    </row>
    <row r="56" spans="1:15" hidden="1" x14ac:dyDescent="0.3">
      <c r="A56" s="20" t="s">
        <v>216</v>
      </c>
      <c r="B56" s="98" t="s">
        <v>217</v>
      </c>
      <c r="C56" s="86" t="s">
        <v>382</v>
      </c>
      <c r="D56" s="77" t="s">
        <v>311</v>
      </c>
      <c r="E56" s="105">
        <v>110</v>
      </c>
      <c r="F56" s="112" t="s">
        <v>314</v>
      </c>
      <c r="G56" s="77">
        <v>10</v>
      </c>
      <c r="H56" s="112" t="s">
        <v>375</v>
      </c>
      <c r="I56" s="77" t="s">
        <v>331</v>
      </c>
      <c r="J56" s="112" t="str">
        <f t="shared" si="3"/>
        <v>AC1102CO10Нет</v>
      </c>
      <c r="K56" s="108" t="s">
        <v>216</v>
      </c>
    </row>
    <row r="57" spans="1:15" hidden="1" x14ac:dyDescent="0.3">
      <c r="A57" s="20" t="s">
        <v>208</v>
      </c>
      <c r="B57" s="98" t="s">
        <v>209</v>
      </c>
      <c r="C57" s="86" t="s">
        <v>382</v>
      </c>
      <c r="D57" s="77" t="s">
        <v>311</v>
      </c>
      <c r="E57" s="77">
        <v>12</v>
      </c>
      <c r="F57" s="77" t="s">
        <v>314</v>
      </c>
      <c r="G57" s="77">
        <v>10</v>
      </c>
      <c r="H57" s="112" t="s">
        <v>375</v>
      </c>
      <c r="I57" s="77" t="s">
        <v>331</v>
      </c>
      <c r="J57" s="112" t="str">
        <f t="shared" si="3"/>
        <v>AC122CO10Нет</v>
      </c>
      <c r="K57" s="108" t="s">
        <v>208</v>
      </c>
    </row>
    <row r="58" spans="1:15" hidden="1" x14ac:dyDescent="0.3">
      <c r="A58" s="20" t="s">
        <v>220</v>
      </c>
      <c r="B58" s="98" t="s">
        <v>221</v>
      </c>
      <c r="C58" s="86" t="s">
        <v>382</v>
      </c>
      <c r="D58" s="77" t="s">
        <v>311</v>
      </c>
      <c r="E58" s="77">
        <v>230</v>
      </c>
      <c r="F58" s="77" t="s">
        <v>314</v>
      </c>
      <c r="G58" s="77">
        <v>10</v>
      </c>
      <c r="H58" s="112" t="s">
        <v>375</v>
      </c>
      <c r="I58" s="77" t="s">
        <v>331</v>
      </c>
      <c r="J58" s="112" t="str">
        <f t="shared" si="3"/>
        <v>AC2302CO10Нет</v>
      </c>
      <c r="K58" s="108" t="s">
        <v>220</v>
      </c>
    </row>
    <row r="59" spans="1:15" hidden="1" x14ac:dyDescent="0.3">
      <c r="A59" s="20" t="s">
        <v>212</v>
      </c>
      <c r="B59" s="98" t="s">
        <v>213</v>
      </c>
      <c r="C59" s="86" t="s">
        <v>382</v>
      </c>
      <c r="D59" s="77" t="s">
        <v>311</v>
      </c>
      <c r="E59" s="112">
        <v>24</v>
      </c>
      <c r="F59" s="77" t="s">
        <v>314</v>
      </c>
      <c r="G59" s="77">
        <v>10</v>
      </c>
      <c r="H59" s="112" t="s">
        <v>375</v>
      </c>
      <c r="I59" s="77" t="s">
        <v>331</v>
      </c>
      <c r="J59" s="112" t="str">
        <f t="shared" si="3"/>
        <v>AC242CO10Нет</v>
      </c>
      <c r="K59" s="108" t="s">
        <v>212</v>
      </c>
    </row>
    <row r="60" spans="1:15" hidden="1" x14ac:dyDescent="0.3">
      <c r="A60" s="19" t="s">
        <v>222</v>
      </c>
      <c r="B60" s="99" t="s">
        <v>223</v>
      </c>
      <c r="C60" s="86" t="s">
        <v>390</v>
      </c>
      <c r="D60" s="77" t="s">
        <v>310</v>
      </c>
      <c r="E60" s="77">
        <v>12</v>
      </c>
      <c r="F60" s="77" t="s">
        <v>316</v>
      </c>
      <c r="G60" s="77">
        <v>16</v>
      </c>
      <c r="H60" s="112" t="s">
        <v>374</v>
      </c>
      <c r="I60" s="77" t="s">
        <v>378</v>
      </c>
      <c r="J60" s="112" t="str">
        <f t="shared" si="3"/>
        <v>DC123CO16Да</v>
      </c>
      <c r="K60" s="105" t="s">
        <v>222</v>
      </c>
    </row>
    <row r="61" spans="1:15" hidden="1" x14ac:dyDescent="0.3">
      <c r="A61" s="18" t="s">
        <v>180</v>
      </c>
      <c r="B61" s="97" t="s">
        <v>181</v>
      </c>
      <c r="C61" s="86" t="s">
        <v>389</v>
      </c>
      <c r="D61" s="77" t="s">
        <v>310</v>
      </c>
      <c r="E61" s="77">
        <v>12</v>
      </c>
      <c r="F61" s="77" t="s">
        <v>315</v>
      </c>
      <c r="G61" s="77">
        <v>5</v>
      </c>
      <c r="H61" s="112" t="s">
        <v>375</v>
      </c>
      <c r="I61" s="77" t="s">
        <v>331</v>
      </c>
      <c r="J61" s="112" t="str">
        <f t="shared" si="3"/>
        <v>DC124CO5Нет</v>
      </c>
      <c r="K61" s="107" t="s">
        <v>180</v>
      </c>
      <c r="M61" s="121"/>
      <c r="O61" s="121"/>
    </row>
    <row r="62" spans="1:15" hidden="1" x14ac:dyDescent="0.3">
      <c r="A62" s="18" t="s">
        <v>182</v>
      </c>
      <c r="B62" s="97" t="s">
        <v>183</v>
      </c>
      <c r="C62" s="86" t="s">
        <v>389</v>
      </c>
      <c r="D62" s="77" t="s">
        <v>310</v>
      </c>
      <c r="E62" s="77">
        <v>12</v>
      </c>
      <c r="F62" s="77" t="s">
        <v>315</v>
      </c>
      <c r="G62" s="77">
        <v>6</v>
      </c>
      <c r="H62" s="112" t="s">
        <v>374</v>
      </c>
      <c r="I62" s="77" t="s">
        <v>378</v>
      </c>
      <c r="J62" s="112" t="str">
        <f t="shared" si="3"/>
        <v>DC124CO6Да</v>
      </c>
      <c r="K62" s="107" t="s">
        <v>182</v>
      </c>
    </row>
    <row r="63" spans="1:15" hidden="1" x14ac:dyDescent="0.3">
      <c r="A63" s="16" t="s">
        <v>88</v>
      </c>
      <c r="B63" s="94" t="s">
        <v>89</v>
      </c>
      <c r="C63" s="86" t="s">
        <v>386</v>
      </c>
      <c r="D63" s="77" t="s">
        <v>310</v>
      </c>
      <c r="E63" s="77">
        <v>24</v>
      </c>
      <c r="F63" s="77" t="s">
        <v>313</v>
      </c>
      <c r="G63" s="77">
        <v>12</v>
      </c>
      <c r="H63" s="112" t="s">
        <v>374</v>
      </c>
      <c r="I63" s="77" t="s">
        <v>378</v>
      </c>
      <c r="J63" s="112" t="str">
        <f t="shared" si="3"/>
        <v>DC241CO12Да</v>
      </c>
      <c r="K63" s="102" t="s">
        <v>88</v>
      </c>
    </row>
    <row r="64" spans="1:15" hidden="1" x14ac:dyDescent="0.3">
      <c r="A64" s="16" t="s">
        <v>86</v>
      </c>
      <c r="B64" s="94" t="s">
        <v>87</v>
      </c>
      <c r="C64" s="86" t="s">
        <v>386</v>
      </c>
      <c r="D64" s="77" t="s">
        <v>310</v>
      </c>
      <c r="E64" s="77">
        <v>24</v>
      </c>
      <c r="F64" s="77" t="s">
        <v>313</v>
      </c>
      <c r="G64" s="77">
        <v>12</v>
      </c>
      <c r="H64" s="112" t="s">
        <v>375</v>
      </c>
      <c r="I64" s="77" t="s">
        <v>331</v>
      </c>
      <c r="J64" s="112" t="str">
        <f t="shared" si="3"/>
        <v>DC241CO12Нет</v>
      </c>
      <c r="K64" s="102" t="s">
        <v>86</v>
      </c>
    </row>
    <row r="65" spans="1:15" hidden="1" x14ac:dyDescent="0.3">
      <c r="A65" s="17" t="s">
        <v>104</v>
      </c>
      <c r="B65" s="96" t="s">
        <v>105</v>
      </c>
      <c r="C65" s="86" t="s">
        <v>387</v>
      </c>
      <c r="D65" s="77" t="s">
        <v>310</v>
      </c>
      <c r="E65" s="112">
        <v>24</v>
      </c>
      <c r="F65" s="112" t="s">
        <v>313</v>
      </c>
      <c r="G65" s="77">
        <v>16</v>
      </c>
      <c r="H65" s="112" t="s">
        <v>375</v>
      </c>
      <c r="I65" s="77"/>
      <c r="J65" s="112" t="str">
        <f t="shared" si="3"/>
        <v>DC241CO16Нет</v>
      </c>
      <c r="K65" s="106" t="s">
        <v>104</v>
      </c>
    </row>
    <row r="66" spans="1:15" hidden="1" x14ac:dyDescent="0.3">
      <c r="A66" s="20" t="s">
        <v>202</v>
      </c>
      <c r="B66" s="98" t="s">
        <v>203</v>
      </c>
      <c r="C66" s="86" t="s">
        <v>382</v>
      </c>
      <c r="D66" s="77" t="s">
        <v>310</v>
      </c>
      <c r="E66" s="77">
        <v>12</v>
      </c>
      <c r="F66" s="77" t="s">
        <v>314</v>
      </c>
      <c r="G66" s="77">
        <v>10</v>
      </c>
      <c r="H66" s="112" t="s">
        <v>375</v>
      </c>
      <c r="I66" s="77" t="s">
        <v>331</v>
      </c>
      <c r="J66" s="112" t="str">
        <f t="shared" si="3"/>
        <v>DC122CO10Нет</v>
      </c>
      <c r="K66" s="108" t="s">
        <v>202</v>
      </c>
    </row>
    <row r="67" spans="1:15" hidden="1" x14ac:dyDescent="0.3">
      <c r="A67" s="20" t="s">
        <v>120</v>
      </c>
      <c r="B67" s="98" t="s">
        <v>121</v>
      </c>
      <c r="C67" s="86" t="s">
        <v>382</v>
      </c>
      <c r="D67" s="77" t="s">
        <v>310</v>
      </c>
      <c r="E67" s="77">
        <v>24</v>
      </c>
      <c r="F67" s="77" t="s">
        <v>314</v>
      </c>
      <c r="G67" s="77">
        <v>10</v>
      </c>
      <c r="H67" s="112" t="s">
        <v>375</v>
      </c>
      <c r="I67" s="77" t="s">
        <v>331</v>
      </c>
      <c r="J67" s="112" t="str">
        <f t="shared" si="3"/>
        <v>DC242CO10Нет</v>
      </c>
      <c r="K67" s="108" t="s">
        <v>120</v>
      </c>
    </row>
    <row r="68" spans="1:15" hidden="1" x14ac:dyDescent="0.3">
      <c r="A68" s="20" t="s">
        <v>218</v>
      </c>
      <c r="B68" s="98" t="s">
        <v>219</v>
      </c>
      <c r="C68" s="86" t="s">
        <v>382</v>
      </c>
      <c r="D68" s="77" t="s">
        <v>311</v>
      </c>
      <c r="E68" s="112">
        <v>115</v>
      </c>
      <c r="F68" s="77" t="s">
        <v>314</v>
      </c>
      <c r="G68" s="77">
        <v>12</v>
      </c>
      <c r="H68" s="112" t="s">
        <v>374</v>
      </c>
      <c r="I68" s="77" t="s">
        <v>379</v>
      </c>
      <c r="J68" s="112" t="str">
        <f t="shared" si="3"/>
        <v>AC1152CO12Да</v>
      </c>
      <c r="K68" s="108" t="s">
        <v>218</v>
      </c>
      <c r="M68" s="121"/>
      <c r="O68" s="121"/>
    </row>
    <row r="69" spans="1:15" hidden="1" x14ac:dyDescent="0.3">
      <c r="A69" s="20" t="s">
        <v>210</v>
      </c>
      <c r="B69" s="98" t="s">
        <v>211</v>
      </c>
      <c r="C69" s="86" t="s">
        <v>382</v>
      </c>
      <c r="D69" s="77" t="s">
        <v>311</v>
      </c>
      <c r="E69" s="112">
        <v>12</v>
      </c>
      <c r="F69" s="77" t="s">
        <v>314</v>
      </c>
      <c r="G69" s="77">
        <v>12</v>
      </c>
      <c r="H69" s="112" t="s">
        <v>374</v>
      </c>
      <c r="I69" s="77" t="s">
        <v>379</v>
      </c>
      <c r="J69" s="112" t="str">
        <f t="shared" si="3"/>
        <v>AC122CO12Да</v>
      </c>
      <c r="K69" s="108" t="s">
        <v>210</v>
      </c>
      <c r="O69" s="121"/>
    </row>
    <row r="70" spans="1:15" hidden="1" x14ac:dyDescent="0.3">
      <c r="A70" s="20" t="s">
        <v>124</v>
      </c>
      <c r="B70" s="98" t="s">
        <v>125</v>
      </c>
      <c r="C70" s="86" t="s">
        <v>382</v>
      </c>
      <c r="D70" s="77" t="s">
        <v>311</v>
      </c>
      <c r="E70" s="112">
        <v>230</v>
      </c>
      <c r="F70" s="112" t="s">
        <v>314</v>
      </c>
      <c r="G70" s="77">
        <v>12</v>
      </c>
      <c r="H70" s="112" t="s">
        <v>374</v>
      </c>
      <c r="I70" s="77" t="s">
        <v>379</v>
      </c>
      <c r="J70" s="112" t="str">
        <f t="shared" si="3"/>
        <v>AC2302CO12Да</v>
      </c>
      <c r="K70" s="108" t="s">
        <v>124</v>
      </c>
    </row>
    <row r="71" spans="1:15" hidden="1" x14ac:dyDescent="0.3">
      <c r="A71" s="19" t="s">
        <v>126</v>
      </c>
      <c r="B71" s="99" t="s">
        <v>127</v>
      </c>
      <c r="C71" s="86" t="s">
        <v>390</v>
      </c>
      <c r="D71" s="77" t="s">
        <v>310</v>
      </c>
      <c r="E71" s="77">
        <v>24</v>
      </c>
      <c r="F71" s="77" t="s">
        <v>316</v>
      </c>
      <c r="G71" s="77">
        <v>16</v>
      </c>
      <c r="H71" s="112" t="s">
        <v>374</v>
      </c>
      <c r="I71" s="77" t="s">
        <v>378</v>
      </c>
      <c r="J71" s="112" t="str">
        <f t="shared" si="3"/>
        <v>DC243CO16Да</v>
      </c>
      <c r="K71" s="105" t="s">
        <v>126</v>
      </c>
    </row>
    <row r="72" spans="1:15" hidden="1" x14ac:dyDescent="0.3">
      <c r="A72" s="18" t="s">
        <v>112</v>
      </c>
      <c r="B72" s="97" t="s">
        <v>113</v>
      </c>
      <c r="C72" s="86" t="s">
        <v>389</v>
      </c>
      <c r="D72" s="77" t="s">
        <v>310</v>
      </c>
      <c r="E72" s="77">
        <v>24</v>
      </c>
      <c r="F72" s="77" t="s">
        <v>315</v>
      </c>
      <c r="G72" s="77">
        <v>5</v>
      </c>
      <c r="H72" s="112" t="s">
        <v>375</v>
      </c>
      <c r="I72" s="77" t="s">
        <v>331</v>
      </c>
      <c r="J72" s="112" t="str">
        <f t="shared" si="3"/>
        <v>DC244CO5Нет</v>
      </c>
      <c r="K72" s="107" t="s">
        <v>112</v>
      </c>
      <c r="O72" s="121"/>
    </row>
    <row r="73" spans="1:15" hidden="1" x14ac:dyDescent="0.3">
      <c r="A73" s="18" t="s">
        <v>114</v>
      </c>
      <c r="B73" s="97" t="s">
        <v>115</v>
      </c>
      <c r="C73" s="86" t="s">
        <v>389</v>
      </c>
      <c r="D73" s="77" t="s">
        <v>310</v>
      </c>
      <c r="E73" s="77">
        <v>24</v>
      </c>
      <c r="F73" s="77" t="s">
        <v>315</v>
      </c>
      <c r="G73" s="77">
        <v>6</v>
      </c>
      <c r="H73" s="112" t="s">
        <v>374</v>
      </c>
      <c r="I73" s="77" t="s">
        <v>378</v>
      </c>
      <c r="J73" s="112" t="str">
        <f t="shared" si="3"/>
        <v>DC244CO6Да</v>
      </c>
      <c r="K73" s="107" t="s">
        <v>114</v>
      </c>
    </row>
    <row r="74" spans="1:15" hidden="1" x14ac:dyDescent="0.3">
      <c r="A74" s="20" t="s">
        <v>214</v>
      </c>
      <c r="B74" s="98" t="s">
        <v>215</v>
      </c>
      <c r="C74" s="86" t="s">
        <v>382</v>
      </c>
      <c r="D74" s="77" t="s">
        <v>311</v>
      </c>
      <c r="E74" s="112">
        <v>24</v>
      </c>
      <c r="F74" s="77" t="s">
        <v>314</v>
      </c>
      <c r="G74" s="77">
        <v>12</v>
      </c>
      <c r="H74" s="112" t="s">
        <v>374</v>
      </c>
      <c r="I74" s="77" t="s">
        <v>379</v>
      </c>
      <c r="J74" s="112" t="str">
        <f t="shared" ref="J74:J81" si="4">D74&amp;E74&amp;F74&amp;G74&amp;H74</f>
        <v>AC242CO12Да</v>
      </c>
      <c r="K74" s="108" t="s">
        <v>214</v>
      </c>
    </row>
    <row r="75" spans="1:15" hidden="1" x14ac:dyDescent="0.3">
      <c r="A75" s="20" t="s">
        <v>204</v>
      </c>
      <c r="B75" s="98" t="s">
        <v>205</v>
      </c>
      <c r="C75" s="86" t="s">
        <v>382</v>
      </c>
      <c r="D75" s="77" t="s">
        <v>310</v>
      </c>
      <c r="E75" s="112">
        <v>12</v>
      </c>
      <c r="F75" s="112" t="s">
        <v>314</v>
      </c>
      <c r="G75" s="77">
        <v>12</v>
      </c>
      <c r="H75" s="112" t="s">
        <v>374</v>
      </c>
      <c r="I75" s="77" t="s">
        <v>378</v>
      </c>
      <c r="J75" s="112" t="str">
        <f t="shared" si="4"/>
        <v>DC122CO12Да</v>
      </c>
      <c r="K75" s="108" t="s">
        <v>204</v>
      </c>
    </row>
    <row r="76" spans="1:15" hidden="1" x14ac:dyDescent="0.3">
      <c r="A76" s="20" t="s">
        <v>122</v>
      </c>
      <c r="B76" s="98" t="s">
        <v>123</v>
      </c>
      <c r="C76" s="86" t="s">
        <v>382</v>
      </c>
      <c r="D76" s="77" t="s">
        <v>310</v>
      </c>
      <c r="E76" s="112">
        <v>24</v>
      </c>
      <c r="F76" s="112" t="s">
        <v>314</v>
      </c>
      <c r="G76" s="77">
        <v>12</v>
      </c>
      <c r="H76" s="112" t="s">
        <v>374</v>
      </c>
      <c r="I76" s="77" t="s">
        <v>378</v>
      </c>
      <c r="J76" s="112" t="str">
        <f t="shared" si="4"/>
        <v>DC242CO12Да</v>
      </c>
      <c r="K76" s="108" t="s">
        <v>122</v>
      </c>
      <c r="M76" s="121"/>
      <c r="O76" s="121"/>
    </row>
    <row r="77" spans="1:15" hidden="1" x14ac:dyDescent="0.3">
      <c r="A77" s="18" t="s">
        <v>184</v>
      </c>
      <c r="B77" s="97" t="s">
        <v>185</v>
      </c>
      <c r="C77" s="86" t="s">
        <v>389</v>
      </c>
      <c r="D77" s="77" t="s">
        <v>310</v>
      </c>
      <c r="E77" s="104">
        <v>110</v>
      </c>
      <c r="F77" s="105" t="s">
        <v>315</v>
      </c>
      <c r="G77" s="77">
        <v>6</v>
      </c>
      <c r="H77" s="112" t="s">
        <v>374</v>
      </c>
      <c r="I77" s="77" t="s">
        <v>378</v>
      </c>
      <c r="J77" s="112" t="str">
        <f t="shared" si="4"/>
        <v>DC1104CO6Да</v>
      </c>
      <c r="K77" s="107" t="s">
        <v>184</v>
      </c>
    </row>
    <row r="78" spans="1:15" hidden="1" x14ac:dyDescent="0.3">
      <c r="A78" s="20" t="s">
        <v>206</v>
      </c>
      <c r="B78" s="98" t="s">
        <v>207</v>
      </c>
      <c r="C78" s="86" t="s">
        <v>382</v>
      </c>
      <c r="D78" s="77" t="s">
        <v>310</v>
      </c>
      <c r="E78" s="77">
        <v>220</v>
      </c>
      <c r="F78" s="77" t="s">
        <v>314</v>
      </c>
      <c r="G78" s="77">
        <v>12</v>
      </c>
      <c r="H78" s="112" t="s">
        <v>374</v>
      </c>
      <c r="I78" s="77" t="s">
        <v>378</v>
      </c>
      <c r="J78" s="112" t="str">
        <f t="shared" si="4"/>
        <v>DC2202CO12Да</v>
      </c>
      <c r="K78" s="108" t="s">
        <v>206</v>
      </c>
    </row>
    <row r="79" spans="1:15" hidden="1" x14ac:dyDescent="0.3">
      <c r="A79" s="19" t="s">
        <v>224</v>
      </c>
      <c r="B79" s="99" t="s">
        <v>225</v>
      </c>
      <c r="C79" s="86" t="s">
        <v>390</v>
      </c>
      <c r="D79" s="77" t="s">
        <v>310</v>
      </c>
      <c r="E79" s="77">
        <v>220</v>
      </c>
      <c r="F79" s="77" t="s">
        <v>316</v>
      </c>
      <c r="G79" s="77">
        <v>16</v>
      </c>
      <c r="H79" s="112" t="s">
        <v>374</v>
      </c>
      <c r="I79" s="77" t="s">
        <v>378</v>
      </c>
      <c r="J79" s="112" t="str">
        <f t="shared" si="4"/>
        <v>DC2203CO16Да</v>
      </c>
      <c r="K79" s="105" t="s">
        <v>224</v>
      </c>
      <c r="M79" s="122"/>
      <c r="O79" s="119"/>
    </row>
    <row r="80" spans="1:15" hidden="1" x14ac:dyDescent="0.3">
      <c r="A80" s="18" t="s">
        <v>186</v>
      </c>
      <c r="B80" s="97" t="s">
        <v>187</v>
      </c>
      <c r="C80" s="86" t="s">
        <v>389</v>
      </c>
      <c r="D80" s="77" t="s">
        <v>310</v>
      </c>
      <c r="E80" s="77">
        <v>220</v>
      </c>
      <c r="F80" s="77" t="s">
        <v>315</v>
      </c>
      <c r="G80" s="77">
        <v>5</v>
      </c>
      <c r="H80" s="112" t="s">
        <v>375</v>
      </c>
      <c r="I80" s="77" t="s">
        <v>331</v>
      </c>
      <c r="J80" s="112" t="str">
        <f t="shared" si="4"/>
        <v>DC2204CO5Нет</v>
      </c>
      <c r="K80" s="107" t="s">
        <v>186</v>
      </c>
    </row>
    <row r="81" spans="1:11" hidden="1" x14ac:dyDescent="0.3">
      <c r="A81" s="18" t="s">
        <v>188</v>
      </c>
      <c r="B81" s="97" t="s">
        <v>189</v>
      </c>
      <c r="C81" s="86" t="s">
        <v>389</v>
      </c>
      <c r="D81" s="77" t="s">
        <v>310</v>
      </c>
      <c r="E81" s="112">
        <v>220</v>
      </c>
      <c r="F81" s="77" t="s">
        <v>315</v>
      </c>
      <c r="G81" s="77">
        <v>6</v>
      </c>
      <c r="H81" s="112" t="s">
        <v>374</v>
      </c>
      <c r="I81" s="77" t="s">
        <v>378</v>
      </c>
      <c r="J81" s="112" t="str">
        <f t="shared" si="4"/>
        <v>DC2204CO6Да</v>
      </c>
      <c r="K81" s="107" t="s">
        <v>188</v>
      </c>
    </row>
    <row r="82" spans="1:11" ht="30" customHeight="1" x14ac:dyDescent="0.3"/>
  </sheetData>
  <autoFilter ref="A1:K81" xr:uid="{9A5A4C94-676D-4F7E-909B-18CDA47E0BF1}">
    <filterColumn colId="2">
      <filters>
        <filter val="IR-B2"/>
      </filters>
    </filterColumn>
    <sortState ref="A10:K78">
      <sortCondition ref="G1:G81"/>
    </sortState>
  </autoFilter>
  <mergeCells count="3">
    <mergeCell ref="Q1:V1"/>
    <mergeCell ref="X6:X15"/>
    <mergeCell ref="T6:V15"/>
  </mergeCells>
  <conditionalFormatting sqref="J2:J81">
    <cfRule type="duplicateValues" dxfId="3" priority="13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8657-FB5A-4363-A49F-1E510168A230}">
  <sheetPr codeName="Лист4" filterMode="1"/>
  <dimension ref="A1:O69"/>
  <sheetViews>
    <sheetView topLeftCell="H1" workbookViewId="0">
      <selection activeCell="C14" sqref="C14"/>
    </sheetView>
  </sheetViews>
  <sheetFormatPr defaultRowHeight="17.25" x14ac:dyDescent="0.3"/>
  <cols>
    <col min="1" max="1" width="11.875" bestFit="1" customWidth="1"/>
    <col min="2" max="2" width="67.125" customWidth="1"/>
    <col min="3" max="3" width="13.5" customWidth="1"/>
    <col min="4" max="4" width="12.5" customWidth="1"/>
    <col min="5" max="5" width="11.25" bestFit="1" customWidth="1"/>
    <col min="6" max="6" width="17.625" bestFit="1" customWidth="1"/>
    <col min="7" max="7" width="31.5" bestFit="1" customWidth="1"/>
    <col min="8" max="8" width="11.875" bestFit="1" customWidth="1"/>
    <col min="9" max="9" width="16.125" customWidth="1"/>
    <col min="10" max="10" width="15.25" bestFit="1" customWidth="1"/>
    <col min="11" max="11" width="24.625" customWidth="1"/>
  </cols>
  <sheetData>
    <row r="1" spans="1:15" ht="34.5" customHeight="1" x14ac:dyDescent="0.3">
      <c r="A1" s="114" t="s">
        <v>354</v>
      </c>
      <c r="B1" s="111" t="s">
        <v>385</v>
      </c>
      <c r="C1" s="87" t="s">
        <v>381</v>
      </c>
      <c r="D1" s="78" t="s">
        <v>306</v>
      </c>
      <c r="E1" s="11" t="s">
        <v>307</v>
      </c>
      <c r="F1" s="78" t="s">
        <v>368</v>
      </c>
      <c r="G1" s="78" t="s">
        <v>380</v>
      </c>
      <c r="H1" s="78" t="s">
        <v>383</v>
      </c>
      <c r="I1" s="11" t="s">
        <v>308</v>
      </c>
      <c r="J1" s="11" t="s">
        <v>319</v>
      </c>
      <c r="K1" s="110" t="s">
        <v>376</v>
      </c>
      <c r="L1" s="111"/>
    </row>
    <row r="2" spans="1:15" hidden="1" x14ac:dyDescent="0.3">
      <c r="A2" s="113" t="s">
        <v>54</v>
      </c>
      <c r="B2" s="16" t="s">
        <v>55</v>
      </c>
      <c r="C2" s="86" t="str">
        <f t="shared" ref="C2:C25" si="0">LEFT(A2,5)</f>
        <v>IR-B1</v>
      </c>
      <c r="D2" s="77" t="s">
        <v>313</v>
      </c>
      <c r="E2" s="7" t="s">
        <v>318</v>
      </c>
      <c r="F2" s="1" t="s">
        <v>370</v>
      </c>
      <c r="G2" s="7" t="str">
        <f t="shared" ref="G2:G31" si="1">C2&amp;E2&amp;F2</f>
        <v>IR-B1Push-inМеталл</v>
      </c>
      <c r="H2" s="16" t="s">
        <v>54</v>
      </c>
      <c r="I2" s="1" t="s">
        <v>250</v>
      </c>
      <c r="J2" s="74" t="s">
        <v>234</v>
      </c>
      <c r="K2" s="1" t="s">
        <v>246</v>
      </c>
      <c r="L2" s="2"/>
      <c r="M2" s="2"/>
      <c r="N2" s="2"/>
      <c r="O2" s="2"/>
    </row>
    <row r="3" spans="1:15" hidden="1" x14ac:dyDescent="0.3">
      <c r="A3" s="16" t="s">
        <v>54</v>
      </c>
      <c r="B3" s="16" t="s">
        <v>55</v>
      </c>
      <c r="C3" s="86" t="str">
        <f t="shared" si="0"/>
        <v>IR-B1</v>
      </c>
      <c r="D3" s="77" t="s">
        <v>313</v>
      </c>
      <c r="E3" s="7" t="s">
        <v>318</v>
      </c>
      <c r="F3" s="1" t="s">
        <v>395</v>
      </c>
      <c r="G3" s="7" t="str">
        <f t="shared" si="1"/>
        <v>IR-B1Push-inМеталлТест-кнопка</v>
      </c>
      <c r="H3" s="16" t="s">
        <v>54</v>
      </c>
      <c r="I3" s="1" t="s">
        <v>250</v>
      </c>
      <c r="J3" s="74" t="s">
        <v>234</v>
      </c>
      <c r="K3" s="1" t="s">
        <v>236</v>
      </c>
    </row>
    <row r="4" spans="1:15" hidden="1" x14ac:dyDescent="0.3">
      <c r="A4" s="16" t="s">
        <v>54</v>
      </c>
      <c r="B4" s="16" t="s">
        <v>55</v>
      </c>
      <c r="C4" s="86" t="str">
        <f t="shared" si="0"/>
        <v>IR-B1</v>
      </c>
      <c r="D4" s="77" t="s">
        <v>313</v>
      </c>
      <c r="E4" s="7" t="s">
        <v>318</v>
      </c>
      <c r="F4" s="1" t="s">
        <v>369</v>
      </c>
      <c r="G4" s="7" t="str">
        <f t="shared" si="1"/>
        <v>IR-B1Push-inПластик</v>
      </c>
      <c r="H4" s="16" t="s">
        <v>54</v>
      </c>
      <c r="I4" s="1" t="s">
        <v>250</v>
      </c>
      <c r="J4" s="74" t="s">
        <v>234</v>
      </c>
      <c r="K4" s="1" t="s">
        <v>244</v>
      </c>
      <c r="L4" s="109" t="s">
        <v>370</v>
      </c>
      <c r="M4" s="109" t="s">
        <v>246</v>
      </c>
      <c r="N4" s="109" t="s">
        <v>384</v>
      </c>
      <c r="O4" s="109" t="s">
        <v>236</v>
      </c>
    </row>
    <row r="5" spans="1:15" x14ac:dyDescent="0.3">
      <c r="A5" s="16" t="s">
        <v>58</v>
      </c>
      <c r="B5" s="16" t="s">
        <v>59</v>
      </c>
      <c r="C5" s="86" t="str">
        <f t="shared" si="0"/>
        <v>IR-B1</v>
      </c>
      <c r="D5" s="77" t="s">
        <v>313</v>
      </c>
      <c r="E5" s="7" t="s">
        <v>399</v>
      </c>
      <c r="F5" s="115" t="s">
        <v>411</v>
      </c>
      <c r="G5" s="7" t="str">
        <f t="shared" si="1"/>
        <v>IR-B1ВинтовойПластикНет</v>
      </c>
      <c r="H5" s="16" t="s">
        <v>58</v>
      </c>
      <c r="I5" s="7" t="s">
        <v>323</v>
      </c>
      <c r="J5" s="1" t="s">
        <v>242</v>
      </c>
      <c r="K5" s="115" t="s">
        <v>321</v>
      </c>
      <c r="L5" s="125"/>
      <c r="M5" s="125"/>
      <c r="N5" s="125"/>
      <c r="O5" s="125"/>
    </row>
    <row r="6" spans="1:15" x14ac:dyDescent="0.3">
      <c r="A6" s="16" t="s">
        <v>56</v>
      </c>
      <c r="B6" s="16" t="s">
        <v>57</v>
      </c>
      <c r="C6" s="86" t="str">
        <f t="shared" si="0"/>
        <v>IR-B1</v>
      </c>
      <c r="D6" s="77" t="s">
        <v>313</v>
      </c>
      <c r="E6" s="7" t="s">
        <v>399</v>
      </c>
      <c r="F6" s="1" t="s">
        <v>370</v>
      </c>
      <c r="G6" s="7" t="str">
        <f t="shared" si="1"/>
        <v>IR-B1ВинтовойМеталл</v>
      </c>
      <c r="H6" s="16" t="s">
        <v>56</v>
      </c>
      <c r="I6" s="1" t="s">
        <v>250</v>
      </c>
      <c r="J6" s="1" t="s">
        <v>230</v>
      </c>
      <c r="K6" s="1" t="s">
        <v>246</v>
      </c>
    </row>
    <row r="7" spans="1:15" x14ac:dyDescent="0.3">
      <c r="A7" s="16" t="s">
        <v>56</v>
      </c>
      <c r="B7" s="16" t="s">
        <v>57</v>
      </c>
      <c r="C7" s="86" t="str">
        <f t="shared" si="0"/>
        <v>IR-B1</v>
      </c>
      <c r="D7" s="77" t="s">
        <v>313</v>
      </c>
      <c r="E7" s="7" t="s">
        <v>399</v>
      </c>
      <c r="F7" s="1" t="s">
        <v>395</v>
      </c>
      <c r="G7" s="7" t="str">
        <f t="shared" si="1"/>
        <v>IR-B1ВинтовойМеталлТест-кнопка</v>
      </c>
      <c r="H7" s="16" t="s">
        <v>56</v>
      </c>
      <c r="I7" s="1" t="s">
        <v>250</v>
      </c>
      <c r="J7" s="1" t="s">
        <v>230</v>
      </c>
      <c r="K7" s="1" t="s">
        <v>236</v>
      </c>
      <c r="L7" s="2"/>
      <c r="M7" s="2"/>
      <c r="N7" s="2"/>
      <c r="O7" s="2"/>
    </row>
    <row r="8" spans="1:15" x14ac:dyDescent="0.3">
      <c r="A8" s="16" t="s">
        <v>56</v>
      </c>
      <c r="B8" s="16" t="s">
        <v>57</v>
      </c>
      <c r="C8" s="86" t="str">
        <f t="shared" si="0"/>
        <v>IR-B1</v>
      </c>
      <c r="D8" s="77" t="s">
        <v>313</v>
      </c>
      <c r="E8" s="7" t="s">
        <v>399</v>
      </c>
      <c r="F8" s="22" t="s">
        <v>369</v>
      </c>
      <c r="G8" s="7" t="str">
        <f t="shared" si="1"/>
        <v>IR-B1ВинтовойПластик</v>
      </c>
      <c r="H8" s="16" t="s">
        <v>56</v>
      </c>
      <c r="I8" s="1" t="s">
        <v>250</v>
      </c>
      <c r="J8" s="1" t="s">
        <v>230</v>
      </c>
      <c r="K8" s="22" t="s">
        <v>244</v>
      </c>
      <c r="L8" s="126" t="s">
        <v>370</v>
      </c>
      <c r="M8" s="126" t="s">
        <v>246</v>
      </c>
      <c r="N8" s="126" t="s">
        <v>384</v>
      </c>
      <c r="O8" s="127" t="s">
        <v>236</v>
      </c>
    </row>
    <row r="9" spans="1:15" hidden="1" x14ac:dyDescent="0.3">
      <c r="A9" s="15" t="s">
        <v>60</v>
      </c>
      <c r="B9" s="15" t="s">
        <v>61</v>
      </c>
      <c r="C9" s="86" t="str">
        <f t="shared" si="0"/>
        <v>IR-B2</v>
      </c>
      <c r="D9" s="77" t="s">
        <v>314</v>
      </c>
      <c r="E9" s="7" t="s">
        <v>318</v>
      </c>
      <c r="F9" s="1" t="s">
        <v>370</v>
      </c>
      <c r="G9" s="7" t="str">
        <f t="shared" si="1"/>
        <v>IR-B2Push-inМеталл</v>
      </c>
      <c r="H9" s="15" t="s">
        <v>60</v>
      </c>
      <c r="I9" s="1" t="s">
        <v>250</v>
      </c>
      <c r="J9" s="21" t="s">
        <v>234</v>
      </c>
      <c r="K9" s="1" t="s">
        <v>246</v>
      </c>
      <c r="L9" s="2"/>
      <c r="M9" s="2"/>
      <c r="N9" s="2"/>
      <c r="O9" s="2"/>
    </row>
    <row r="10" spans="1:15" hidden="1" x14ac:dyDescent="0.3">
      <c r="A10" s="15" t="s">
        <v>60</v>
      </c>
      <c r="B10" s="15" t="s">
        <v>61</v>
      </c>
      <c r="C10" s="86" t="str">
        <f t="shared" si="0"/>
        <v>IR-B2</v>
      </c>
      <c r="D10" s="77" t="s">
        <v>314</v>
      </c>
      <c r="E10" s="7" t="s">
        <v>318</v>
      </c>
      <c r="F10" s="1" t="s">
        <v>395</v>
      </c>
      <c r="G10" s="7" t="str">
        <f t="shared" si="1"/>
        <v>IR-B2Push-inМеталлТест-кнопка</v>
      </c>
      <c r="H10" s="15" t="s">
        <v>60</v>
      </c>
      <c r="I10" s="1" t="s">
        <v>250</v>
      </c>
      <c r="J10" s="21" t="s">
        <v>234</v>
      </c>
      <c r="K10" s="1" t="s">
        <v>236</v>
      </c>
      <c r="L10" s="2"/>
      <c r="M10" s="2"/>
      <c r="N10" s="2"/>
      <c r="O10" s="2"/>
    </row>
    <row r="11" spans="1:15" hidden="1" x14ac:dyDescent="0.3">
      <c r="A11" s="15" t="s">
        <v>60</v>
      </c>
      <c r="B11" s="15" t="s">
        <v>61</v>
      </c>
      <c r="C11" s="86" t="str">
        <f t="shared" si="0"/>
        <v>IR-B2</v>
      </c>
      <c r="D11" s="77" t="s">
        <v>314</v>
      </c>
      <c r="E11" s="7" t="s">
        <v>318</v>
      </c>
      <c r="F11" s="1" t="s">
        <v>369</v>
      </c>
      <c r="G11" s="7" t="str">
        <f t="shared" si="1"/>
        <v>IR-B2Push-inПластик</v>
      </c>
      <c r="H11" s="15" t="s">
        <v>60</v>
      </c>
      <c r="I11" s="1" t="s">
        <v>250</v>
      </c>
      <c r="J11" s="21" t="s">
        <v>234</v>
      </c>
      <c r="K11" s="22" t="s">
        <v>244</v>
      </c>
      <c r="L11" s="126" t="s">
        <v>370</v>
      </c>
      <c r="M11" s="126" t="s">
        <v>246</v>
      </c>
      <c r="N11" s="126" t="s">
        <v>384</v>
      </c>
      <c r="O11" s="127" t="s">
        <v>236</v>
      </c>
    </row>
    <row r="12" spans="1:15" x14ac:dyDescent="0.3">
      <c r="A12" s="15" t="s">
        <v>64</v>
      </c>
      <c r="B12" s="15" t="s">
        <v>65</v>
      </c>
      <c r="C12" s="86" t="str">
        <f t="shared" si="0"/>
        <v>IR-B2</v>
      </c>
      <c r="D12" s="77" t="s">
        <v>314</v>
      </c>
      <c r="E12" s="7" t="s">
        <v>399</v>
      </c>
      <c r="F12" s="115" t="s">
        <v>411</v>
      </c>
      <c r="G12" s="7" t="str">
        <f t="shared" si="1"/>
        <v>IR-B2ВинтовойПластикНет</v>
      </c>
      <c r="H12" s="15" t="s">
        <v>64</v>
      </c>
      <c r="I12" s="7" t="s">
        <v>323</v>
      </c>
      <c r="J12" s="1" t="s">
        <v>242</v>
      </c>
      <c r="K12" s="115" t="s">
        <v>321</v>
      </c>
      <c r="L12" s="115"/>
      <c r="M12" s="115"/>
      <c r="N12" s="115"/>
      <c r="O12" s="115"/>
    </row>
    <row r="13" spans="1:15" x14ac:dyDescent="0.3">
      <c r="A13" s="15" t="s">
        <v>62</v>
      </c>
      <c r="B13" s="15" t="s">
        <v>63</v>
      </c>
      <c r="C13" s="86" t="str">
        <f t="shared" si="0"/>
        <v>IR-B2</v>
      </c>
      <c r="D13" s="77" t="s">
        <v>314</v>
      </c>
      <c r="E13" s="7" t="s">
        <v>399</v>
      </c>
      <c r="F13" s="1" t="s">
        <v>370</v>
      </c>
      <c r="G13" s="7" t="str">
        <f t="shared" si="1"/>
        <v>IR-B2ВинтовойМеталл</v>
      </c>
      <c r="H13" s="15" t="s">
        <v>62</v>
      </c>
      <c r="I13" s="1" t="s">
        <v>250</v>
      </c>
      <c r="J13" s="1" t="s">
        <v>230</v>
      </c>
      <c r="K13" s="1" t="s">
        <v>246</v>
      </c>
      <c r="L13" s="2"/>
      <c r="M13" s="2"/>
      <c r="N13" s="2"/>
      <c r="O13" s="2"/>
    </row>
    <row r="14" spans="1:15" x14ac:dyDescent="0.3">
      <c r="A14" s="15" t="s">
        <v>62</v>
      </c>
      <c r="B14" s="15" t="s">
        <v>63</v>
      </c>
      <c r="C14" s="86" t="str">
        <f t="shared" si="0"/>
        <v>IR-B2</v>
      </c>
      <c r="D14" s="77" t="s">
        <v>314</v>
      </c>
      <c r="E14" s="7" t="s">
        <v>399</v>
      </c>
      <c r="F14" s="1" t="s">
        <v>395</v>
      </c>
      <c r="G14" s="7" t="str">
        <f t="shared" si="1"/>
        <v>IR-B2ВинтовойМеталлТест-кнопка</v>
      </c>
      <c r="H14" s="15" t="s">
        <v>62</v>
      </c>
      <c r="I14" s="1" t="s">
        <v>250</v>
      </c>
      <c r="J14" s="1" t="s">
        <v>230</v>
      </c>
      <c r="K14" s="1" t="s">
        <v>236</v>
      </c>
      <c r="L14" s="2"/>
      <c r="M14" s="2"/>
      <c r="N14" s="2"/>
      <c r="O14" s="2"/>
    </row>
    <row r="15" spans="1:15" x14ac:dyDescent="0.3">
      <c r="A15" s="15" t="s">
        <v>62</v>
      </c>
      <c r="B15" s="15" t="s">
        <v>63</v>
      </c>
      <c r="C15" s="86" t="str">
        <f t="shared" si="0"/>
        <v>IR-B2</v>
      </c>
      <c r="D15" s="77" t="s">
        <v>314</v>
      </c>
      <c r="E15" s="7" t="s">
        <v>399</v>
      </c>
      <c r="F15" s="1" t="s">
        <v>369</v>
      </c>
      <c r="G15" s="7" t="str">
        <f t="shared" si="1"/>
        <v>IR-B2ВинтовойПластик</v>
      </c>
      <c r="H15" s="15" t="s">
        <v>62</v>
      </c>
      <c r="I15" s="1" t="s">
        <v>250</v>
      </c>
      <c r="J15" s="1" t="s">
        <v>230</v>
      </c>
      <c r="K15" s="1" t="s">
        <v>244</v>
      </c>
      <c r="L15" s="1" t="s">
        <v>370</v>
      </c>
      <c r="M15" s="1" t="s">
        <v>246</v>
      </c>
      <c r="N15" s="1" t="s">
        <v>384</v>
      </c>
      <c r="O15" s="1" t="s">
        <v>236</v>
      </c>
    </row>
    <row r="16" spans="1:15" x14ac:dyDescent="0.3">
      <c r="A16" s="19" t="s">
        <v>84</v>
      </c>
      <c r="B16" s="19" t="s">
        <v>85</v>
      </c>
      <c r="C16" s="86" t="str">
        <f t="shared" si="0"/>
        <v>IR-B3</v>
      </c>
      <c r="D16" s="77" t="s">
        <v>316</v>
      </c>
      <c r="E16" s="7" t="s">
        <v>399</v>
      </c>
      <c r="F16" s="1" t="s">
        <v>370</v>
      </c>
      <c r="G16" s="7" t="str">
        <f t="shared" si="1"/>
        <v>IR-B3ВинтовойМеталл</v>
      </c>
      <c r="H16" s="19" t="s">
        <v>84</v>
      </c>
      <c r="I16" s="7" t="s">
        <v>323</v>
      </c>
      <c r="J16" s="7" t="s">
        <v>323</v>
      </c>
      <c r="K16" s="1" t="s">
        <v>240</v>
      </c>
      <c r="L16" s="1"/>
      <c r="M16" s="1"/>
      <c r="N16" s="1"/>
      <c r="O16" s="1"/>
    </row>
    <row r="17" spans="1:15" hidden="1" x14ac:dyDescent="0.3">
      <c r="A17" s="18" t="s">
        <v>70</v>
      </c>
      <c r="B17" s="18" t="s">
        <v>71</v>
      </c>
      <c r="C17" s="86" t="str">
        <f t="shared" si="0"/>
        <v>IR-B4</v>
      </c>
      <c r="D17" s="77" t="s">
        <v>315</v>
      </c>
      <c r="E17" s="7" t="s">
        <v>318</v>
      </c>
      <c r="F17" s="1" t="s">
        <v>370</v>
      </c>
      <c r="G17" s="7" t="str">
        <f t="shared" si="1"/>
        <v>IR-B4Push-inМеталл</v>
      </c>
      <c r="H17" s="18" t="s">
        <v>70</v>
      </c>
      <c r="I17" s="1" t="s">
        <v>252</v>
      </c>
      <c r="J17" s="1" t="s">
        <v>234</v>
      </c>
      <c r="K17" s="1" t="s">
        <v>248</v>
      </c>
      <c r="L17" s="2"/>
      <c r="M17" s="2"/>
      <c r="N17" s="2"/>
      <c r="O17" s="2"/>
    </row>
    <row r="18" spans="1:15" hidden="1" x14ac:dyDescent="0.3">
      <c r="A18" s="18" t="s">
        <v>70</v>
      </c>
      <c r="B18" s="18" t="s">
        <v>71</v>
      </c>
      <c r="C18" s="86" t="str">
        <f t="shared" si="0"/>
        <v>IR-B4</v>
      </c>
      <c r="D18" s="77" t="s">
        <v>315</v>
      </c>
      <c r="E18" s="7" t="s">
        <v>318</v>
      </c>
      <c r="F18" s="1" t="s">
        <v>369</v>
      </c>
      <c r="G18" s="7" t="str">
        <f t="shared" si="1"/>
        <v>IR-B4Push-inПластик</v>
      </c>
      <c r="H18" s="18" t="s">
        <v>70</v>
      </c>
      <c r="I18" s="1" t="s">
        <v>252</v>
      </c>
      <c r="J18" s="1" t="s">
        <v>234</v>
      </c>
      <c r="K18" s="1" t="s">
        <v>238</v>
      </c>
      <c r="L18" s="1" t="s">
        <v>370</v>
      </c>
      <c r="M18" s="1" t="s">
        <v>248</v>
      </c>
      <c r="N18" s="1"/>
      <c r="O18" s="1"/>
    </row>
    <row r="19" spans="1:15" x14ac:dyDescent="0.3">
      <c r="A19" s="18" t="s">
        <v>66</v>
      </c>
      <c r="B19" s="18" t="s">
        <v>67</v>
      </c>
      <c r="C19" s="86" t="str">
        <f t="shared" si="0"/>
        <v>IR-B4</v>
      </c>
      <c r="D19" s="77" t="s">
        <v>315</v>
      </c>
      <c r="E19" s="7" t="s">
        <v>399</v>
      </c>
      <c r="F19" s="1" t="s">
        <v>370</v>
      </c>
      <c r="G19" s="7" t="str">
        <f t="shared" si="1"/>
        <v>IR-B4ВинтовойМеталл</v>
      </c>
      <c r="H19" s="18" t="s">
        <v>66</v>
      </c>
      <c r="I19" s="1" t="s">
        <v>252</v>
      </c>
      <c r="J19" s="1" t="s">
        <v>230</v>
      </c>
      <c r="K19" s="1" t="s">
        <v>248</v>
      </c>
      <c r="L19" s="2"/>
      <c r="M19" s="2"/>
      <c r="N19" s="2"/>
      <c r="O19" s="2"/>
    </row>
    <row r="20" spans="1:15" x14ac:dyDescent="0.3">
      <c r="A20" s="18" t="s">
        <v>68</v>
      </c>
      <c r="B20" s="18" t="s">
        <v>69</v>
      </c>
      <c r="C20" s="86" t="str">
        <f t="shared" si="0"/>
        <v>IR-B4</v>
      </c>
      <c r="D20" s="77" t="s">
        <v>315</v>
      </c>
      <c r="E20" s="7" t="s">
        <v>399</v>
      </c>
      <c r="F20" s="1" t="s">
        <v>396</v>
      </c>
      <c r="G20" s="7" t="str">
        <f t="shared" si="1"/>
        <v>IR-B4ВинтовойМеталл2</v>
      </c>
      <c r="H20" s="18" t="s">
        <v>68</v>
      </c>
      <c r="I20" s="1" t="s">
        <v>252</v>
      </c>
      <c r="J20" s="1" t="s">
        <v>230</v>
      </c>
      <c r="K20" s="1" t="s">
        <v>248</v>
      </c>
      <c r="L20" s="2"/>
      <c r="M20" s="2"/>
      <c r="N20" s="2"/>
      <c r="O20" s="2"/>
    </row>
    <row r="21" spans="1:15" x14ac:dyDescent="0.3">
      <c r="A21" s="18" t="s">
        <v>66</v>
      </c>
      <c r="B21" s="18" t="s">
        <v>67</v>
      </c>
      <c r="C21" s="86" t="str">
        <f t="shared" si="0"/>
        <v>IR-B4</v>
      </c>
      <c r="D21" s="77" t="s">
        <v>315</v>
      </c>
      <c r="E21" s="7" t="s">
        <v>399</v>
      </c>
      <c r="F21" s="1" t="s">
        <v>369</v>
      </c>
      <c r="G21" s="7" t="str">
        <f t="shared" si="1"/>
        <v>IR-B4ВинтовойПластик</v>
      </c>
      <c r="H21" s="18" t="s">
        <v>66</v>
      </c>
      <c r="I21" s="1" t="s">
        <v>252</v>
      </c>
      <c r="J21" s="1" t="s">
        <v>230</v>
      </c>
      <c r="K21" s="1" t="s">
        <v>238</v>
      </c>
      <c r="L21" s="1" t="s">
        <v>370</v>
      </c>
      <c r="M21" s="1" t="s">
        <v>248</v>
      </c>
      <c r="N21" s="1"/>
      <c r="O21" s="1"/>
    </row>
    <row r="22" spans="1:15" x14ac:dyDescent="0.3">
      <c r="A22" s="18" t="s">
        <v>68</v>
      </c>
      <c r="B22" s="18" t="s">
        <v>69</v>
      </c>
      <c r="C22" s="86" t="str">
        <f t="shared" si="0"/>
        <v>IR-B4</v>
      </c>
      <c r="D22" s="77" t="s">
        <v>315</v>
      </c>
      <c r="E22" s="7" t="s">
        <v>399</v>
      </c>
      <c r="F22" s="1" t="s">
        <v>397</v>
      </c>
      <c r="G22" s="7" t="str">
        <f t="shared" si="1"/>
        <v>IR-B4ВинтовойПластик2</v>
      </c>
      <c r="H22" s="18" t="s">
        <v>68</v>
      </c>
      <c r="I22" s="1" t="s">
        <v>252</v>
      </c>
      <c r="J22" s="1" t="s">
        <v>230</v>
      </c>
      <c r="K22" s="1" t="s">
        <v>238</v>
      </c>
      <c r="L22" s="109" t="s">
        <v>370</v>
      </c>
      <c r="M22" s="109" t="s">
        <v>248</v>
      </c>
      <c r="N22" s="109"/>
      <c r="O22" s="109"/>
    </row>
    <row r="23" spans="1:15" hidden="1" x14ac:dyDescent="0.3">
      <c r="A23" s="17" t="s">
        <v>72</v>
      </c>
      <c r="B23" s="17" t="s">
        <v>73</v>
      </c>
      <c r="C23" s="86" t="str">
        <f t="shared" si="0"/>
        <v>IRM-B</v>
      </c>
      <c r="D23" s="77" t="s">
        <v>314</v>
      </c>
      <c r="E23" s="7" t="s">
        <v>318</v>
      </c>
      <c r="F23" s="1" t="s">
        <v>369</v>
      </c>
      <c r="G23" s="7" t="str">
        <f t="shared" si="1"/>
        <v>IRM-BPush-inПластик</v>
      </c>
      <c r="H23" s="17" t="s">
        <v>72</v>
      </c>
      <c r="I23" s="1" t="s">
        <v>250</v>
      </c>
      <c r="J23" s="21" t="s">
        <v>234</v>
      </c>
      <c r="K23" s="1" t="s">
        <v>232</v>
      </c>
      <c r="L23" s="109"/>
      <c r="M23" s="109"/>
      <c r="N23" s="109"/>
      <c r="O23" s="109"/>
    </row>
    <row r="24" spans="1:15" x14ac:dyDescent="0.3">
      <c r="A24" s="17" t="s">
        <v>76</v>
      </c>
      <c r="B24" s="17" t="s">
        <v>77</v>
      </c>
      <c r="C24" s="86" t="str">
        <f t="shared" si="0"/>
        <v>IRM-B</v>
      </c>
      <c r="D24" s="77" t="s">
        <v>314</v>
      </c>
      <c r="E24" s="7" t="s">
        <v>399</v>
      </c>
      <c r="F24" s="1" t="s">
        <v>369</v>
      </c>
      <c r="G24" s="7" t="str">
        <f t="shared" si="1"/>
        <v>IRM-BВинтовойПластик</v>
      </c>
      <c r="H24" s="17" t="s">
        <v>76</v>
      </c>
      <c r="I24" s="1" t="s">
        <v>250</v>
      </c>
      <c r="J24" s="1" t="s">
        <v>230</v>
      </c>
      <c r="K24" s="1" t="s">
        <v>232</v>
      </c>
      <c r="L24" s="109"/>
      <c r="M24" s="109"/>
      <c r="N24" s="109"/>
      <c r="O24" s="109"/>
    </row>
    <row r="25" spans="1:15" x14ac:dyDescent="0.3">
      <c r="A25" s="17" t="s">
        <v>74</v>
      </c>
      <c r="B25" s="17" t="s">
        <v>75</v>
      </c>
      <c r="C25" s="86" t="str">
        <f t="shared" si="0"/>
        <v>IRM-B</v>
      </c>
      <c r="D25" s="77" t="s">
        <v>314</v>
      </c>
      <c r="E25" s="7" t="s">
        <v>399</v>
      </c>
      <c r="F25" s="1" t="s">
        <v>397</v>
      </c>
      <c r="G25" s="7" t="str">
        <f t="shared" si="1"/>
        <v>IRM-BВинтовойПластик2</v>
      </c>
      <c r="H25" s="17" t="s">
        <v>74</v>
      </c>
      <c r="I25" s="1" t="s">
        <v>250</v>
      </c>
      <c r="J25" s="1" t="s">
        <v>230</v>
      </c>
      <c r="K25" s="1" t="s">
        <v>232</v>
      </c>
      <c r="L25" s="109"/>
      <c r="M25" s="109"/>
      <c r="N25" s="109"/>
      <c r="O25" s="109"/>
    </row>
    <row r="26" spans="1:15" hidden="1" x14ac:dyDescent="0.3">
      <c r="A26" s="20" t="s">
        <v>78</v>
      </c>
      <c r="B26" s="20" t="s">
        <v>79</v>
      </c>
      <c r="C26" s="86" t="s">
        <v>382</v>
      </c>
      <c r="D26" s="77" t="s">
        <v>314</v>
      </c>
      <c r="E26" s="7" t="s">
        <v>318</v>
      </c>
      <c r="F26" s="1" t="s">
        <v>370</v>
      </c>
      <c r="G26" s="7" t="str">
        <f t="shared" si="1"/>
        <v>IR-W2COPush-inМеталл</v>
      </c>
      <c r="H26" s="20" t="s">
        <v>78</v>
      </c>
      <c r="I26" s="1" t="s">
        <v>252</v>
      </c>
      <c r="J26" s="1" t="s">
        <v>234</v>
      </c>
      <c r="K26" s="1" t="s">
        <v>248</v>
      </c>
      <c r="L26" s="121"/>
      <c r="M26" s="121"/>
      <c r="N26" s="121"/>
      <c r="O26" s="121"/>
    </row>
    <row r="27" spans="1:15" hidden="1" x14ac:dyDescent="0.3">
      <c r="A27" s="20" t="s">
        <v>78</v>
      </c>
      <c r="B27" s="20" t="s">
        <v>79</v>
      </c>
      <c r="C27" s="86" t="s">
        <v>382</v>
      </c>
      <c r="D27" s="77" t="s">
        <v>314</v>
      </c>
      <c r="E27" s="7" t="s">
        <v>318</v>
      </c>
      <c r="F27" s="1" t="s">
        <v>369</v>
      </c>
      <c r="G27" s="7" t="str">
        <f t="shared" si="1"/>
        <v>IR-W2COPush-inПластик</v>
      </c>
      <c r="H27" s="20" t="s">
        <v>78</v>
      </c>
      <c r="I27" s="1" t="s">
        <v>252</v>
      </c>
      <c r="J27" s="1" t="s">
        <v>234</v>
      </c>
      <c r="K27" s="1" t="s">
        <v>238</v>
      </c>
      <c r="L27" s="109" t="s">
        <v>370</v>
      </c>
      <c r="M27" s="109" t="s">
        <v>248</v>
      </c>
      <c r="N27" s="109"/>
      <c r="O27" s="109"/>
    </row>
    <row r="28" spans="1:15" x14ac:dyDescent="0.3">
      <c r="A28" s="20" t="s">
        <v>80</v>
      </c>
      <c r="B28" s="20" t="s">
        <v>81</v>
      </c>
      <c r="C28" s="86" t="s">
        <v>382</v>
      </c>
      <c r="D28" s="77" t="s">
        <v>314</v>
      </c>
      <c r="E28" s="7" t="s">
        <v>399</v>
      </c>
      <c r="F28" s="1" t="s">
        <v>370</v>
      </c>
      <c r="G28" s="7" t="str">
        <f t="shared" si="1"/>
        <v>IR-W2COВинтовойМеталл</v>
      </c>
      <c r="H28" s="20" t="s">
        <v>80</v>
      </c>
      <c r="I28" s="1" t="s">
        <v>252</v>
      </c>
      <c r="J28" s="1" t="s">
        <v>230</v>
      </c>
      <c r="K28" s="1" t="s">
        <v>248</v>
      </c>
      <c r="L28" s="121"/>
      <c r="M28" s="121"/>
      <c r="N28" s="121"/>
      <c r="O28" s="121"/>
    </row>
    <row r="29" spans="1:15" x14ac:dyDescent="0.3">
      <c r="A29" s="20" t="s">
        <v>82</v>
      </c>
      <c r="B29" s="20" t="s">
        <v>83</v>
      </c>
      <c r="C29" s="86" t="s">
        <v>382</v>
      </c>
      <c r="D29" s="77" t="s">
        <v>314</v>
      </c>
      <c r="E29" s="7" t="s">
        <v>399</v>
      </c>
      <c r="F29" s="1" t="s">
        <v>396</v>
      </c>
      <c r="G29" s="7" t="str">
        <f t="shared" si="1"/>
        <v>IR-W2COВинтовойМеталл2</v>
      </c>
      <c r="H29" s="20" t="s">
        <v>82</v>
      </c>
      <c r="I29" s="1" t="s">
        <v>252</v>
      </c>
      <c r="J29" s="1" t="s">
        <v>230</v>
      </c>
      <c r="K29" s="1" t="s">
        <v>248</v>
      </c>
      <c r="L29" s="121"/>
      <c r="M29" s="121"/>
      <c r="N29" s="121"/>
      <c r="O29" s="121"/>
    </row>
    <row r="30" spans="1:15" x14ac:dyDescent="0.3">
      <c r="A30" s="20" t="s">
        <v>80</v>
      </c>
      <c r="B30" s="20" t="s">
        <v>81</v>
      </c>
      <c r="C30" s="86" t="s">
        <v>382</v>
      </c>
      <c r="D30" s="77" t="s">
        <v>314</v>
      </c>
      <c r="E30" s="7" t="s">
        <v>399</v>
      </c>
      <c r="F30" s="1" t="s">
        <v>369</v>
      </c>
      <c r="G30" s="7" t="str">
        <f t="shared" si="1"/>
        <v>IR-W2COВинтовойПластик</v>
      </c>
      <c r="H30" s="20" t="s">
        <v>80</v>
      </c>
      <c r="I30" s="1" t="s">
        <v>252</v>
      </c>
      <c r="J30" s="1" t="s">
        <v>230</v>
      </c>
      <c r="K30" s="1" t="s">
        <v>238</v>
      </c>
      <c r="L30" s="109" t="s">
        <v>370</v>
      </c>
      <c r="M30" s="109" t="s">
        <v>248</v>
      </c>
      <c r="N30" s="109"/>
      <c r="O30" s="109"/>
    </row>
    <row r="31" spans="1:15" x14ac:dyDescent="0.3">
      <c r="A31" s="20" t="s">
        <v>82</v>
      </c>
      <c r="B31" s="20" t="s">
        <v>83</v>
      </c>
      <c r="C31" s="86" t="s">
        <v>382</v>
      </c>
      <c r="D31" s="77" t="s">
        <v>314</v>
      </c>
      <c r="E31" s="7" t="s">
        <v>399</v>
      </c>
      <c r="F31" s="1" t="s">
        <v>397</v>
      </c>
      <c r="G31" s="7" t="str">
        <f t="shared" si="1"/>
        <v>IR-W2COВинтовойПластик2</v>
      </c>
      <c r="H31" s="20" t="s">
        <v>82</v>
      </c>
      <c r="I31" s="1" t="s">
        <v>252</v>
      </c>
      <c r="J31" s="1" t="s">
        <v>230</v>
      </c>
      <c r="K31" s="1" t="s">
        <v>238</v>
      </c>
      <c r="L31" s="109" t="s">
        <v>370</v>
      </c>
      <c r="M31" s="109" t="s">
        <v>248</v>
      </c>
      <c r="N31" s="109"/>
      <c r="O31" s="109"/>
    </row>
    <row r="33" spans="1:3" x14ac:dyDescent="0.3">
      <c r="A33" s="208" t="s">
        <v>324</v>
      </c>
      <c r="B33" s="208"/>
    </row>
    <row r="34" spans="1:3" x14ac:dyDescent="0.3">
      <c r="A34" s="23" t="s">
        <v>230</v>
      </c>
      <c r="B34" s="24" t="s">
        <v>231</v>
      </c>
    </row>
    <row r="35" spans="1:3" x14ac:dyDescent="0.3">
      <c r="A35" s="1" t="s">
        <v>234</v>
      </c>
      <c r="B35" s="2" t="s">
        <v>235</v>
      </c>
    </row>
    <row r="36" spans="1:3" x14ac:dyDescent="0.3">
      <c r="A36" s="1" t="s">
        <v>242</v>
      </c>
      <c r="B36" s="2" t="s">
        <v>243</v>
      </c>
    </row>
    <row r="37" spans="1:3" x14ac:dyDescent="0.3">
      <c r="A37" s="13" t="s">
        <v>44</v>
      </c>
      <c r="B37" s="13" t="s">
        <v>45</v>
      </c>
    </row>
    <row r="38" spans="1:3" x14ac:dyDescent="0.3">
      <c r="A38" s="13" t="s">
        <v>46</v>
      </c>
      <c r="B38" s="13" t="s">
        <v>47</v>
      </c>
    </row>
    <row r="39" spans="1:3" x14ac:dyDescent="0.3">
      <c r="A39" s="13" t="s">
        <v>48</v>
      </c>
      <c r="B39" s="13" t="s">
        <v>49</v>
      </c>
    </row>
    <row r="40" spans="1:3" x14ac:dyDescent="0.3">
      <c r="A40" s="13" t="s">
        <v>50</v>
      </c>
      <c r="B40" s="13" t="s">
        <v>51</v>
      </c>
    </row>
    <row r="43" spans="1:3" x14ac:dyDescent="0.3">
      <c r="A43" s="209" t="s">
        <v>325</v>
      </c>
      <c r="B43" s="210"/>
      <c r="C43" s="7"/>
    </row>
    <row r="44" spans="1:3" x14ac:dyDescent="0.3">
      <c r="A44" s="1" t="s">
        <v>244</v>
      </c>
      <c r="B44" s="2" t="s">
        <v>245</v>
      </c>
      <c r="C44" s="7" t="s">
        <v>326</v>
      </c>
    </row>
    <row r="45" spans="1:3" x14ac:dyDescent="0.3">
      <c r="A45" s="1" t="s">
        <v>238</v>
      </c>
      <c r="B45" s="2" t="s">
        <v>239</v>
      </c>
      <c r="C45" s="7" t="s">
        <v>326</v>
      </c>
    </row>
    <row r="46" spans="1:3" x14ac:dyDescent="0.3">
      <c r="A46" s="1" t="s">
        <v>240</v>
      </c>
      <c r="B46" s="2" t="s">
        <v>241</v>
      </c>
      <c r="C46" s="7" t="s">
        <v>327</v>
      </c>
    </row>
    <row r="47" spans="1:3" x14ac:dyDescent="0.3">
      <c r="A47" s="1" t="s">
        <v>246</v>
      </c>
      <c r="B47" s="2" t="s">
        <v>247</v>
      </c>
      <c r="C47" s="7" t="s">
        <v>327</v>
      </c>
    </row>
    <row r="48" spans="1:3" x14ac:dyDescent="0.3">
      <c r="A48" s="1" t="s">
        <v>236</v>
      </c>
      <c r="B48" s="2" t="s">
        <v>237</v>
      </c>
      <c r="C48" s="7" t="s">
        <v>327</v>
      </c>
    </row>
    <row r="49" spans="1:3" x14ac:dyDescent="0.3">
      <c r="A49" s="1" t="s">
        <v>248</v>
      </c>
      <c r="B49" s="2" t="s">
        <v>249</v>
      </c>
      <c r="C49" s="7" t="s">
        <v>327</v>
      </c>
    </row>
    <row r="50" spans="1:3" x14ac:dyDescent="0.3">
      <c r="A50" s="1" t="s">
        <v>232</v>
      </c>
      <c r="B50" s="2" t="s">
        <v>233</v>
      </c>
      <c r="C50" s="7" t="s">
        <v>326</v>
      </c>
    </row>
    <row r="51" spans="1:3" x14ac:dyDescent="0.3">
      <c r="A51" s="1" t="s">
        <v>250</v>
      </c>
      <c r="B51" s="2" t="s">
        <v>251</v>
      </c>
      <c r="C51" s="7"/>
    </row>
    <row r="52" spans="1:3" x14ac:dyDescent="0.3">
      <c r="A52" s="1" t="s">
        <v>252</v>
      </c>
      <c r="B52" s="2" t="s">
        <v>253</v>
      </c>
      <c r="C52" s="7"/>
    </row>
    <row r="53" spans="1:3" x14ac:dyDescent="0.3">
      <c r="A53" s="13" t="s">
        <v>52</v>
      </c>
      <c r="B53" s="13" t="s">
        <v>53</v>
      </c>
      <c r="C53" s="7"/>
    </row>
    <row r="54" spans="1:3" x14ac:dyDescent="0.3">
      <c r="A54" t="s">
        <v>362</v>
      </c>
      <c r="B54" t="s">
        <v>400</v>
      </c>
    </row>
    <row r="55" spans="1:3" x14ac:dyDescent="0.3">
      <c r="A55" t="s">
        <v>16</v>
      </c>
      <c r="B55" t="s">
        <v>17</v>
      </c>
    </row>
    <row r="56" spans="1:3" x14ac:dyDescent="0.3">
      <c r="A56" t="s">
        <v>18</v>
      </c>
      <c r="B56" t="s">
        <v>19</v>
      </c>
    </row>
    <row r="57" spans="1:3" x14ac:dyDescent="0.3">
      <c r="A57" t="s">
        <v>20</v>
      </c>
      <c r="B57" t="s">
        <v>21</v>
      </c>
    </row>
    <row r="58" spans="1:3" x14ac:dyDescent="0.3">
      <c r="A58" t="s">
        <v>42</v>
      </c>
      <c r="B58" t="s">
        <v>43</v>
      </c>
    </row>
    <row r="59" spans="1:3" x14ac:dyDescent="0.3">
      <c r="A59" t="s">
        <v>40</v>
      </c>
      <c r="B59" t="s">
        <v>41</v>
      </c>
    </row>
    <row r="60" spans="1:3" x14ac:dyDescent="0.3">
      <c r="A60" t="s">
        <v>38</v>
      </c>
      <c r="B60" t="s">
        <v>39</v>
      </c>
    </row>
    <row r="61" spans="1:3" x14ac:dyDescent="0.3">
      <c r="A61" t="s">
        <v>36</v>
      </c>
      <c r="B61" t="s">
        <v>37</v>
      </c>
    </row>
    <row r="62" spans="1:3" x14ac:dyDescent="0.3">
      <c r="A62" t="s">
        <v>32</v>
      </c>
      <c r="B62" t="s">
        <v>33</v>
      </c>
    </row>
    <row r="63" spans="1:3" x14ac:dyDescent="0.3">
      <c r="A63" t="s">
        <v>30</v>
      </c>
      <c r="B63" t="s">
        <v>31</v>
      </c>
    </row>
    <row r="64" spans="1:3" x14ac:dyDescent="0.3">
      <c r="A64" t="s">
        <v>28</v>
      </c>
      <c r="B64" t="s">
        <v>29</v>
      </c>
    </row>
    <row r="65" spans="1:4" x14ac:dyDescent="0.3">
      <c r="A65" t="s">
        <v>26</v>
      </c>
      <c r="B65" t="s">
        <v>27</v>
      </c>
    </row>
    <row r="68" spans="1:4" ht="181.5" x14ac:dyDescent="0.3">
      <c r="B68" s="128" t="s">
        <v>366</v>
      </c>
      <c r="C68" s="31"/>
      <c r="D68" s="31"/>
    </row>
    <row r="69" spans="1:4" x14ac:dyDescent="0.3">
      <c r="B69" s="29"/>
      <c r="C69" s="31"/>
      <c r="D69" s="31"/>
    </row>
  </sheetData>
  <autoFilter ref="A1:X31" xr:uid="{8584DB5A-D5DC-4FBA-B24D-B35BDF707AF0}">
    <filterColumn colId="4">
      <filters>
        <filter val="Винтовой"/>
      </filters>
    </filterColumn>
    <sortState ref="A2:O31">
      <sortCondition ref="G1:G31"/>
    </sortState>
  </autoFilter>
  <mergeCells count="2">
    <mergeCell ref="A33:B33"/>
    <mergeCell ref="A43:B43"/>
  </mergeCells>
  <conditionalFormatting sqref="G1:G104857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034BD-9CFD-4DCE-B490-1E10501F9EA7}">
  <sheetPr codeName="Лист8"/>
  <dimension ref="A1:D13"/>
  <sheetViews>
    <sheetView workbookViewId="0">
      <selection sqref="A1:D13"/>
    </sheetView>
  </sheetViews>
  <sheetFormatPr defaultRowHeight="17.25" x14ac:dyDescent="0.3"/>
  <sheetData>
    <row r="1" spans="1:4" x14ac:dyDescent="0.3">
      <c r="A1" s="75" t="s">
        <v>359</v>
      </c>
      <c r="B1" s="75" t="s">
        <v>349</v>
      </c>
      <c r="C1" s="75" t="s">
        <v>360</v>
      </c>
      <c r="D1" s="75" t="s">
        <v>406</v>
      </c>
    </row>
    <row r="2" spans="1:4" x14ac:dyDescent="0.3">
      <c r="A2" s="76" t="s">
        <v>361</v>
      </c>
      <c r="B2" s="76" t="s">
        <v>362</v>
      </c>
      <c r="C2" s="76" t="s">
        <v>36</v>
      </c>
      <c r="D2" s="76" t="s">
        <v>52</v>
      </c>
    </row>
    <row r="3" spans="1:4" x14ac:dyDescent="0.3">
      <c r="A3" s="76" t="s">
        <v>363</v>
      </c>
      <c r="B3" s="76" t="s">
        <v>362</v>
      </c>
      <c r="C3" s="76" t="s">
        <v>26</v>
      </c>
      <c r="D3" s="76" t="s">
        <v>52</v>
      </c>
    </row>
    <row r="4" spans="1:4" x14ac:dyDescent="0.3">
      <c r="A4" s="76" t="s">
        <v>8</v>
      </c>
      <c r="B4" s="76" t="s">
        <v>20</v>
      </c>
      <c r="C4" s="76" t="s">
        <v>36</v>
      </c>
      <c r="D4" s="76" t="s">
        <v>52</v>
      </c>
    </row>
    <row r="5" spans="1:4" x14ac:dyDescent="0.3">
      <c r="A5" s="76" t="s">
        <v>10</v>
      </c>
      <c r="B5" s="76" t="s">
        <v>20</v>
      </c>
      <c r="C5" s="76" t="s">
        <v>26</v>
      </c>
      <c r="D5" s="76" t="s">
        <v>52</v>
      </c>
    </row>
    <row r="6" spans="1:4" x14ac:dyDescent="0.3">
      <c r="A6" s="76" t="s">
        <v>0</v>
      </c>
      <c r="B6" s="76" t="s">
        <v>18</v>
      </c>
      <c r="C6" s="76" t="s">
        <v>36</v>
      </c>
      <c r="D6" s="76" t="s">
        <v>52</v>
      </c>
    </row>
    <row r="7" spans="1:4" x14ac:dyDescent="0.3">
      <c r="A7" s="76" t="s">
        <v>2</v>
      </c>
      <c r="B7" s="76" t="s">
        <v>18</v>
      </c>
      <c r="C7" s="76" t="s">
        <v>26</v>
      </c>
      <c r="D7" s="76" t="s">
        <v>52</v>
      </c>
    </row>
    <row r="8" spans="1:4" x14ac:dyDescent="0.3">
      <c r="A8" s="76" t="s">
        <v>364</v>
      </c>
      <c r="B8" s="76" t="s">
        <v>18</v>
      </c>
      <c r="C8" s="76" t="s">
        <v>38</v>
      </c>
      <c r="D8" s="76" t="s">
        <v>52</v>
      </c>
    </row>
    <row r="9" spans="1:4" x14ac:dyDescent="0.3">
      <c r="A9" s="76" t="s">
        <v>365</v>
      </c>
      <c r="B9" s="76" t="s">
        <v>18</v>
      </c>
      <c r="C9" s="76" t="s">
        <v>28</v>
      </c>
      <c r="D9" s="76" t="s">
        <v>52</v>
      </c>
    </row>
    <row r="10" spans="1:4" x14ac:dyDescent="0.3">
      <c r="A10" s="76" t="s">
        <v>12</v>
      </c>
      <c r="B10" s="76" t="s">
        <v>18</v>
      </c>
      <c r="C10" s="76" t="s">
        <v>40</v>
      </c>
      <c r="D10" s="76" t="s">
        <v>52</v>
      </c>
    </row>
    <row r="11" spans="1:4" x14ac:dyDescent="0.3">
      <c r="A11" s="76" t="s">
        <v>14</v>
      </c>
      <c r="B11" s="76" t="s">
        <v>18</v>
      </c>
      <c r="C11" s="76" t="s">
        <v>30</v>
      </c>
      <c r="D11" s="76" t="s">
        <v>52</v>
      </c>
    </row>
    <row r="12" spans="1:4" x14ac:dyDescent="0.3">
      <c r="A12" s="76" t="s">
        <v>4</v>
      </c>
      <c r="B12" s="76" t="s">
        <v>16</v>
      </c>
      <c r="C12" s="76" t="s">
        <v>42</v>
      </c>
      <c r="D12" s="76" t="s">
        <v>52</v>
      </c>
    </row>
    <row r="13" spans="1:4" x14ac:dyDescent="0.3">
      <c r="A13" s="76" t="s">
        <v>6</v>
      </c>
      <c r="B13" s="76" t="s">
        <v>16</v>
      </c>
      <c r="C13" s="76" t="s">
        <v>32</v>
      </c>
      <c r="D13" s="76" t="s">
        <v>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61C00-99C4-4CE0-B652-24DB6043FDBD}">
  <sheetPr codeName="Лист5"/>
  <dimension ref="A1:K28"/>
  <sheetViews>
    <sheetView workbookViewId="0">
      <selection activeCell="A5" sqref="A5:B23"/>
    </sheetView>
  </sheetViews>
  <sheetFormatPr defaultRowHeight="17.25" x14ac:dyDescent="0.3"/>
  <cols>
    <col min="1" max="1" width="11.125" bestFit="1" customWidth="1"/>
    <col min="2" max="2" width="66.25" bestFit="1" customWidth="1"/>
    <col min="3" max="3" width="8.875" customWidth="1"/>
    <col min="4" max="4" width="20.625" bestFit="1" customWidth="1"/>
    <col min="5" max="5" width="16.125" customWidth="1"/>
    <col min="6" max="6" width="12.875" customWidth="1"/>
    <col min="7" max="7" width="12.875" style="123" customWidth="1"/>
    <col min="8" max="8" width="24.125" style="123" customWidth="1"/>
    <col min="9" max="9" width="36.5" bestFit="1" customWidth="1"/>
    <col min="10" max="10" width="36.5" customWidth="1"/>
    <col min="11" max="11" width="11.125" bestFit="1" customWidth="1"/>
  </cols>
  <sheetData>
    <row r="1" spans="1:11" ht="34.5" x14ac:dyDescent="0.3">
      <c r="A1" s="129" t="s">
        <v>328</v>
      </c>
      <c r="B1" s="130"/>
      <c r="C1" s="117" t="s">
        <v>360</v>
      </c>
      <c r="D1" s="8" t="s">
        <v>329</v>
      </c>
      <c r="E1" s="118" t="s">
        <v>304</v>
      </c>
      <c r="F1" s="79" t="s">
        <v>336</v>
      </c>
      <c r="G1" s="132" t="s">
        <v>401</v>
      </c>
      <c r="H1" s="132" t="s">
        <v>402</v>
      </c>
      <c r="I1" s="112" t="s">
        <v>380</v>
      </c>
      <c r="J1" s="112" t="s">
        <v>380</v>
      </c>
      <c r="K1" s="134" t="s">
        <v>403</v>
      </c>
    </row>
    <row r="2" spans="1:11" x14ac:dyDescent="0.3">
      <c r="A2" s="1" t="s">
        <v>274</v>
      </c>
      <c r="B2" s="2" t="s">
        <v>275</v>
      </c>
      <c r="C2" s="2"/>
      <c r="D2" s="8" t="s">
        <v>332</v>
      </c>
      <c r="E2" s="8" t="s">
        <v>309</v>
      </c>
      <c r="F2" s="131" t="s">
        <v>337</v>
      </c>
      <c r="G2" s="135">
        <v>24</v>
      </c>
      <c r="H2" s="135" t="str">
        <f>IF(G2&gt;=Конфигуратор!$B$20,"Да","Нет")</f>
        <v>Да</v>
      </c>
      <c r="I2" s="133" t="str">
        <f>C2&amp;D2&amp;E2&amp;H2</f>
        <v>RC-цепочкаAC/DCДа</v>
      </c>
      <c r="J2" s="133" t="str">
        <f>C2&amp;D2&amp;H2</f>
        <v>RC-цепочкаДа</v>
      </c>
      <c r="K2" s="136" t="s">
        <v>274</v>
      </c>
    </row>
    <row r="3" spans="1:11" x14ac:dyDescent="0.3">
      <c r="A3" s="1" t="s">
        <v>276</v>
      </c>
      <c r="B3" s="2" t="s">
        <v>277</v>
      </c>
      <c r="C3" s="2"/>
      <c r="D3" s="8" t="s">
        <v>332</v>
      </c>
      <c r="E3" s="8" t="s">
        <v>309</v>
      </c>
      <c r="F3" s="124" t="s">
        <v>340</v>
      </c>
      <c r="G3" s="135">
        <v>60</v>
      </c>
      <c r="H3" s="135" t="str">
        <f>IF(G3&gt;=Конфигуратор!$B$20,"Да","Нет")</f>
        <v>Да</v>
      </c>
      <c r="I3" s="133" t="str">
        <f t="shared" ref="I3:I28" si="0">C3&amp;D3&amp;E3&amp;H3</f>
        <v>RC-цепочкаAC/DCДа</v>
      </c>
      <c r="J3" s="133" t="str">
        <f t="shared" ref="J3:J28" si="1">C3&amp;D3&amp;H3</f>
        <v>RC-цепочкаДа</v>
      </c>
      <c r="K3" s="136" t="s">
        <v>276</v>
      </c>
    </row>
    <row r="4" spans="1:11" x14ac:dyDescent="0.3">
      <c r="A4" s="21" t="s">
        <v>278</v>
      </c>
      <c r="B4" s="2" t="s">
        <v>279</v>
      </c>
      <c r="C4" s="2"/>
      <c r="D4" s="153" t="s">
        <v>332</v>
      </c>
      <c r="E4" s="8" t="s">
        <v>309</v>
      </c>
      <c r="F4" s="155" t="s">
        <v>339</v>
      </c>
      <c r="G4" s="135">
        <v>240</v>
      </c>
      <c r="H4" s="135" t="str">
        <f>IF(G4&gt;=Конфигуратор!$B$20,"Да","Нет")</f>
        <v>Да</v>
      </c>
      <c r="I4" s="133" t="str">
        <f t="shared" si="0"/>
        <v>RC-цепочкаAC/DCДа</v>
      </c>
      <c r="J4" s="133" t="str">
        <f t="shared" si="1"/>
        <v>RC-цепочкаДа</v>
      </c>
      <c r="K4" s="136" t="s">
        <v>278</v>
      </c>
    </row>
    <row r="5" spans="1:11" x14ac:dyDescent="0.3">
      <c r="A5" s="1" t="s">
        <v>296</v>
      </c>
      <c r="B5" s="2" t="s">
        <v>275</v>
      </c>
      <c r="C5" s="2" t="s">
        <v>84</v>
      </c>
      <c r="D5" s="8" t="s">
        <v>332</v>
      </c>
      <c r="E5" s="8" t="s">
        <v>309</v>
      </c>
      <c r="F5" s="131" t="s">
        <v>337</v>
      </c>
      <c r="G5" s="135">
        <v>24</v>
      </c>
      <c r="H5" s="135" t="str">
        <f>IF(G5&gt;=Конфигуратор!$B$20,"Да","Нет")</f>
        <v>Да</v>
      </c>
      <c r="I5" s="133" t="str">
        <f t="shared" si="0"/>
        <v>IR-B3-SCRC-цепочкаAC/DCДа</v>
      </c>
      <c r="J5" s="133" t="str">
        <f t="shared" si="1"/>
        <v>IR-B3-SCRC-цепочкаДа</v>
      </c>
      <c r="K5" s="136" t="s">
        <v>296</v>
      </c>
    </row>
    <row r="6" spans="1:11" x14ac:dyDescent="0.3">
      <c r="A6" s="1" t="s">
        <v>297</v>
      </c>
      <c r="B6" s="2" t="s">
        <v>277</v>
      </c>
      <c r="C6" s="2" t="s">
        <v>84</v>
      </c>
      <c r="D6" s="8" t="s">
        <v>332</v>
      </c>
      <c r="E6" s="8" t="s">
        <v>309</v>
      </c>
      <c r="F6" s="124" t="s">
        <v>340</v>
      </c>
      <c r="G6" s="135">
        <v>60</v>
      </c>
      <c r="H6" s="135" t="str">
        <f>IF(G6&gt;=Конфигуратор!$B$20,"Да","Нет")</f>
        <v>Да</v>
      </c>
      <c r="I6" s="133" t="str">
        <f t="shared" si="0"/>
        <v>IR-B3-SCRC-цепочкаAC/DCДа</v>
      </c>
      <c r="J6" s="133" t="str">
        <f t="shared" si="1"/>
        <v>IR-B3-SCRC-цепочкаДа</v>
      </c>
      <c r="K6" s="136" t="s">
        <v>297</v>
      </c>
    </row>
    <row r="7" spans="1:11" x14ac:dyDescent="0.3">
      <c r="A7" s="1" t="s">
        <v>298</v>
      </c>
      <c r="B7" s="2" t="s">
        <v>279</v>
      </c>
      <c r="C7" s="2" t="s">
        <v>84</v>
      </c>
      <c r="D7" s="8" t="s">
        <v>332</v>
      </c>
      <c r="E7" s="8" t="s">
        <v>309</v>
      </c>
      <c r="F7" s="124" t="s">
        <v>339</v>
      </c>
      <c r="G7" s="135">
        <v>240</v>
      </c>
      <c r="H7" s="135" t="str">
        <f>IF(G7&gt;=Конфигуратор!$B$20,"Да","Нет")</f>
        <v>Да</v>
      </c>
      <c r="I7" s="133" t="str">
        <f t="shared" si="0"/>
        <v>IR-B3-SCRC-цепочкаAC/DCДа</v>
      </c>
      <c r="J7" s="133" t="str">
        <f t="shared" si="1"/>
        <v>IR-B3-SCRC-цепочкаДа</v>
      </c>
      <c r="K7" s="136" t="s">
        <v>298</v>
      </c>
    </row>
    <row r="8" spans="1:11" x14ac:dyDescent="0.3">
      <c r="A8" s="1" t="s">
        <v>280</v>
      </c>
      <c r="B8" s="2" t="s">
        <v>281</v>
      </c>
      <c r="C8" s="2"/>
      <c r="D8" s="8" t="s">
        <v>333</v>
      </c>
      <c r="E8" s="8" t="s">
        <v>309</v>
      </c>
      <c r="F8" s="124">
        <v>24</v>
      </c>
      <c r="G8" s="112">
        <v>24</v>
      </c>
      <c r="H8" s="135" t="str">
        <f>IF(G8&gt;=Конфигуратор!$B$20,"Да","Нет")</f>
        <v>Да</v>
      </c>
      <c r="I8" s="133" t="str">
        <f t="shared" si="0"/>
        <v>варисторAC/DCДа</v>
      </c>
      <c r="J8" s="133" t="str">
        <f t="shared" si="1"/>
        <v>варисторДа</v>
      </c>
      <c r="K8" s="136" t="s">
        <v>280</v>
      </c>
    </row>
    <row r="9" spans="1:11" x14ac:dyDescent="0.3">
      <c r="A9" s="1" t="s">
        <v>282</v>
      </c>
      <c r="B9" s="2" t="s">
        <v>283</v>
      </c>
      <c r="C9" s="2"/>
      <c r="D9" s="8" t="s">
        <v>333</v>
      </c>
      <c r="E9" s="8" t="s">
        <v>309</v>
      </c>
      <c r="F9" s="124">
        <v>120</v>
      </c>
      <c r="G9" s="112">
        <v>120</v>
      </c>
      <c r="H9" s="135" t="str">
        <f>IF(G9&gt;=Конфигуратор!$B$20,"Да","Нет")</f>
        <v>Да</v>
      </c>
      <c r="I9" s="133" t="str">
        <f t="shared" si="0"/>
        <v>варисторAC/DCДа</v>
      </c>
      <c r="J9" s="133" t="str">
        <f t="shared" si="1"/>
        <v>варисторДа</v>
      </c>
      <c r="K9" s="136" t="s">
        <v>282</v>
      </c>
    </row>
    <row r="10" spans="1:11" x14ac:dyDescent="0.3">
      <c r="A10" s="21" t="s">
        <v>284</v>
      </c>
      <c r="B10" s="2" t="s">
        <v>285</v>
      </c>
      <c r="C10" s="2"/>
      <c r="D10" s="156" t="s">
        <v>333</v>
      </c>
      <c r="E10" s="8" t="s">
        <v>309</v>
      </c>
      <c r="F10" s="154">
        <v>240</v>
      </c>
      <c r="G10" s="112">
        <v>240</v>
      </c>
      <c r="H10" s="135" t="str">
        <f>IF(G10&gt;=Конфигуратор!$B$20,"Да","Нет")</f>
        <v>Да</v>
      </c>
      <c r="I10" s="133" t="str">
        <f t="shared" si="0"/>
        <v>варисторAC/DCДа</v>
      </c>
      <c r="J10" s="133" t="str">
        <f t="shared" si="1"/>
        <v>варисторДа</v>
      </c>
      <c r="K10" s="136" t="s">
        <v>284</v>
      </c>
    </row>
    <row r="11" spans="1:11" x14ac:dyDescent="0.3">
      <c r="A11" s="1" t="s">
        <v>299</v>
      </c>
      <c r="B11" s="2" t="s">
        <v>281</v>
      </c>
      <c r="C11" s="2" t="s">
        <v>84</v>
      </c>
      <c r="D11" s="8" t="s">
        <v>333</v>
      </c>
      <c r="E11" s="8" t="s">
        <v>309</v>
      </c>
      <c r="F11" s="124">
        <v>24</v>
      </c>
      <c r="G11" s="112">
        <v>24</v>
      </c>
      <c r="H11" s="135" t="str">
        <f>IF(G11&gt;=Конфигуратор!$B$20,"Да","Нет")</f>
        <v>Да</v>
      </c>
      <c r="I11" s="133" t="str">
        <f t="shared" si="0"/>
        <v>IR-B3-SCваристорAC/DCДа</v>
      </c>
      <c r="J11" s="133" t="str">
        <f t="shared" si="1"/>
        <v>IR-B3-SCваристорДа</v>
      </c>
      <c r="K11" s="136" t="s">
        <v>299</v>
      </c>
    </row>
    <row r="12" spans="1:11" x14ac:dyDescent="0.3">
      <c r="A12" s="1" t="s">
        <v>300</v>
      </c>
      <c r="B12" s="2" t="s">
        <v>283</v>
      </c>
      <c r="C12" s="2" t="s">
        <v>84</v>
      </c>
      <c r="D12" s="8" t="s">
        <v>333</v>
      </c>
      <c r="E12" s="8" t="s">
        <v>309</v>
      </c>
      <c r="F12" s="124">
        <v>120</v>
      </c>
      <c r="G12" s="112">
        <v>120</v>
      </c>
      <c r="H12" s="135" t="str">
        <f>IF(G12&gt;=Конфигуратор!$B$20,"Да","Нет")</f>
        <v>Да</v>
      </c>
      <c r="I12" s="133" t="str">
        <f t="shared" si="0"/>
        <v>IR-B3-SCваристорAC/DCДа</v>
      </c>
      <c r="J12" s="133" t="str">
        <f t="shared" si="1"/>
        <v>IR-B3-SCваристорДа</v>
      </c>
      <c r="K12" s="136" t="s">
        <v>300</v>
      </c>
    </row>
    <row r="13" spans="1:11" x14ac:dyDescent="0.3">
      <c r="A13" s="1" t="s">
        <v>301</v>
      </c>
      <c r="B13" s="2" t="s">
        <v>285</v>
      </c>
      <c r="C13" s="2" t="s">
        <v>84</v>
      </c>
      <c r="D13" s="8" t="s">
        <v>333</v>
      </c>
      <c r="E13" s="8" t="s">
        <v>309</v>
      </c>
      <c r="F13" s="124">
        <v>240</v>
      </c>
      <c r="G13" s="112">
        <v>240</v>
      </c>
      <c r="H13" s="135" t="str">
        <f>IF(G13&gt;=Конфигуратор!$B$20,"Да","Нет")</f>
        <v>Да</v>
      </c>
      <c r="I13" s="133" t="str">
        <f t="shared" si="0"/>
        <v>IR-B3-SCваристорAC/DCДа</v>
      </c>
      <c r="J13" s="133" t="str">
        <f t="shared" si="1"/>
        <v>IR-B3-SCваристорДа</v>
      </c>
      <c r="K13" s="136" t="s">
        <v>301</v>
      </c>
    </row>
    <row r="14" spans="1:11" x14ac:dyDescent="0.3">
      <c r="A14" s="1" t="s">
        <v>256</v>
      </c>
      <c r="B14" s="2" t="s">
        <v>257</v>
      </c>
      <c r="C14" s="2"/>
      <c r="D14" s="8" t="s">
        <v>331</v>
      </c>
      <c r="E14" s="8" t="s">
        <v>309</v>
      </c>
      <c r="F14" s="131" t="s">
        <v>337</v>
      </c>
      <c r="G14" s="135">
        <v>24</v>
      </c>
      <c r="H14" s="135" t="str">
        <f>IF(G14&gt;=Конфигуратор!$B$20,"Да","Нет")</f>
        <v>Да</v>
      </c>
      <c r="I14" s="133" t="str">
        <f>C14&amp;D14&amp;E14&amp;H14</f>
        <v>светодиодAC/DCДа</v>
      </c>
      <c r="J14" s="133" t="str">
        <f t="shared" si="1"/>
        <v>светодиодДа</v>
      </c>
      <c r="K14" s="136" t="s">
        <v>256</v>
      </c>
    </row>
    <row r="15" spans="1:11" x14ac:dyDescent="0.3">
      <c r="A15" s="21" t="s">
        <v>258</v>
      </c>
      <c r="B15" s="2" t="s">
        <v>259</v>
      </c>
      <c r="C15" s="2"/>
      <c r="D15" s="153" t="s">
        <v>331</v>
      </c>
      <c r="E15" s="8" t="s">
        <v>309</v>
      </c>
      <c r="F15" s="155" t="s">
        <v>339</v>
      </c>
      <c r="G15" s="135">
        <v>240</v>
      </c>
      <c r="H15" s="135" t="str">
        <f>IF(G15&gt;=Конфигуратор!$B$20,"Да","Нет")</f>
        <v>Да</v>
      </c>
      <c r="I15" s="133" t="str">
        <f t="shared" si="0"/>
        <v>светодиодAC/DCДа</v>
      </c>
      <c r="J15" s="133" t="str">
        <f t="shared" si="1"/>
        <v>светодиодДа</v>
      </c>
      <c r="K15" s="136" t="s">
        <v>258</v>
      </c>
    </row>
    <row r="16" spans="1:11" x14ac:dyDescent="0.3">
      <c r="A16" s="4" t="s">
        <v>286</v>
      </c>
      <c r="B16" s="5" t="s">
        <v>287</v>
      </c>
      <c r="C16" s="2" t="s">
        <v>84</v>
      </c>
      <c r="D16" s="8" t="s">
        <v>331</v>
      </c>
      <c r="E16" s="8" t="s">
        <v>309</v>
      </c>
      <c r="F16" s="131" t="s">
        <v>337</v>
      </c>
      <c r="G16" s="135">
        <v>24</v>
      </c>
      <c r="H16" s="135" t="str">
        <f>IF(G16&gt;=Конфигуратор!$B$20,"Да","Нет")</f>
        <v>Да</v>
      </c>
      <c r="I16" s="133" t="str">
        <f t="shared" si="0"/>
        <v>IR-B3-SCсветодиодAC/DCДа</v>
      </c>
      <c r="J16" s="133" t="str">
        <f t="shared" si="1"/>
        <v>IR-B3-SCсветодиодДа</v>
      </c>
      <c r="K16" s="137" t="s">
        <v>286</v>
      </c>
    </row>
    <row r="17" spans="1:11" x14ac:dyDescent="0.3">
      <c r="A17" s="4" t="s">
        <v>288</v>
      </c>
      <c r="B17" s="5" t="s">
        <v>289</v>
      </c>
      <c r="C17" s="2" t="s">
        <v>84</v>
      </c>
      <c r="D17" s="8" t="s">
        <v>331</v>
      </c>
      <c r="E17" s="8" t="s">
        <v>309</v>
      </c>
      <c r="F17" s="124" t="s">
        <v>339</v>
      </c>
      <c r="G17" s="135">
        <v>240</v>
      </c>
      <c r="H17" s="135" t="str">
        <f>IF(G17&gt;=Конфигуратор!$B$20,"Да","Нет")</f>
        <v>Да</v>
      </c>
      <c r="I17" s="133" t="str">
        <f t="shared" si="0"/>
        <v>IR-B3-SCсветодиодAC/DCДа</v>
      </c>
      <c r="J17" s="133" t="str">
        <f t="shared" si="1"/>
        <v>IR-B3-SCсветодиодДа</v>
      </c>
      <c r="K17" s="137" t="s">
        <v>288</v>
      </c>
    </row>
    <row r="18" spans="1:11" x14ac:dyDescent="0.3">
      <c r="A18" s="1" t="s">
        <v>268</v>
      </c>
      <c r="B18" s="2" t="s">
        <v>269</v>
      </c>
      <c r="C18" s="2"/>
      <c r="D18" s="8" t="s">
        <v>335</v>
      </c>
      <c r="E18" s="8" t="s">
        <v>309</v>
      </c>
      <c r="F18" s="124">
        <v>24</v>
      </c>
      <c r="G18" s="112">
        <v>24</v>
      </c>
      <c r="H18" s="135" t="str">
        <f>IF(G18&gt;=Конфигуратор!$B$20,"Да","Нет")</f>
        <v>Да</v>
      </c>
      <c r="I18" s="133" t="str">
        <f t="shared" si="0"/>
        <v>светодиод+варисторAC/DCДа</v>
      </c>
      <c r="J18" s="133" t="str">
        <f t="shared" si="1"/>
        <v>светодиод+варисторДа</v>
      </c>
      <c r="K18" s="136" t="s">
        <v>268</v>
      </c>
    </row>
    <row r="19" spans="1:11" x14ac:dyDescent="0.3">
      <c r="A19" s="1" t="s">
        <v>270</v>
      </c>
      <c r="B19" s="2" t="s">
        <v>271</v>
      </c>
      <c r="C19" s="2"/>
      <c r="D19" s="8" t="s">
        <v>335</v>
      </c>
      <c r="E19" s="8" t="s">
        <v>309</v>
      </c>
      <c r="F19" s="124">
        <v>120</v>
      </c>
      <c r="G19" s="112">
        <v>120</v>
      </c>
      <c r="H19" s="135" t="str">
        <f>IF(G19&gt;=Конфигуратор!$B$20,"Да","Нет")</f>
        <v>Да</v>
      </c>
      <c r="I19" s="133" t="str">
        <f t="shared" si="0"/>
        <v>светодиод+варисторAC/DCДа</v>
      </c>
      <c r="J19" s="133" t="str">
        <f t="shared" si="1"/>
        <v>светодиод+варисторДа</v>
      </c>
      <c r="K19" s="136" t="s">
        <v>270</v>
      </c>
    </row>
    <row r="20" spans="1:11" x14ac:dyDescent="0.3">
      <c r="A20" s="21" t="s">
        <v>272</v>
      </c>
      <c r="B20" s="2" t="s">
        <v>273</v>
      </c>
      <c r="C20" s="2"/>
      <c r="D20" s="156" t="s">
        <v>335</v>
      </c>
      <c r="E20" s="8" t="s">
        <v>309</v>
      </c>
      <c r="F20" s="154">
        <v>240</v>
      </c>
      <c r="G20" s="112">
        <v>240</v>
      </c>
      <c r="H20" s="135" t="str">
        <f>IF(G20&gt;=Конфигуратор!$B$20,"Да","Нет")</f>
        <v>Да</v>
      </c>
      <c r="I20" s="133" t="str">
        <f t="shared" si="0"/>
        <v>светодиод+варисторAC/DCДа</v>
      </c>
      <c r="J20" s="133" t="str">
        <f t="shared" si="1"/>
        <v>светодиод+варисторДа</v>
      </c>
      <c r="K20" s="136" t="s">
        <v>272</v>
      </c>
    </row>
    <row r="21" spans="1:11" x14ac:dyDescent="0.3">
      <c r="A21" s="1" t="s">
        <v>290</v>
      </c>
      <c r="B21" s="2" t="s">
        <v>291</v>
      </c>
      <c r="C21" s="2" t="s">
        <v>84</v>
      </c>
      <c r="D21" s="8" t="s">
        <v>335</v>
      </c>
      <c r="E21" s="8" t="s">
        <v>309</v>
      </c>
      <c r="F21" s="124">
        <v>24</v>
      </c>
      <c r="G21" s="112">
        <v>24</v>
      </c>
      <c r="H21" s="135" t="str">
        <f>IF(G21&gt;=Конфигуратор!$B$20,"Да","Нет")</f>
        <v>Да</v>
      </c>
      <c r="I21" s="133" t="str">
        <f t="shared" si="0"/>
        <v>IR-B3-SCсветодиод+варисторAC/DCДа</v>
      </c>
      <c r="J21" s="133" t="str">
        <f t="shared" si="1"/>
        <v>IR-B3-SCсветодиод+варисторДа</v>
      </c>
      <c r="K21" s="136" t="s">
        <v>290</v>
      </c>
    </row>
    <row r="22" spans="1:11" x14ac:dyDescent="0.3">
      <c r="A22" s="1" t="s">
        <v>292</v>
      </c>
      <c r="B22" s="2" t="s">
        <v>293</v>
      </c>
      <c r="C22" s="2" t="s">
        <v>84</v>
      </c>
      <c r="D22" s="8" t="s">
        <v>335</v>
      </c>
      <c r="E22" s="8" t="s">
        <v>309</v>
      </c>
      <c r="F22" s="124">
        <v>120</v>
      </c>
      <c r="G22" s="112">
        <v>120</v>
      </c>
      <c r="H22" s="135" t="str">
        <f>IF(G22&gt;=Конфигуратор!$B$20,"Да","Нет")</f>
        <v>Да</v>
      </c>
      <c r="I22" s="133" t="str">
        <f t="shared" si="0"/>
        <v>IR-B3-SCсветодиод+варисторAC/DCДа</v>
      </c>
      <c r="J22" s="133" t="str">
        <f t="shared" si="1"/>
        <v>IR-B3-SCсветодиод+варисторДа</v>
      </c>
      <c r="K22" s="136" t="s">
        <v>292</v>
      </c>
    </row>
    <row r="23" spans="1:11" x14ac:dyDescent="0.3">
      <c r="A23" s="1" t="s">
        <v>294</v>
      </c>
      <c r="B23" s="2" t="s">
        <v>295</v>
      </c>
      <c r="C23" s="2" t="s">
        <v>84</v>
      </c>
      <c r="D23" s="8" t="s">
        <v>335</v>
      </c>
      <c r="E23" s="8" t="s">
        <v>309</v>
      </c>
      <c r="F23" s="124">
        <v>240</v>
      </c>
      <c r="G23" s="112">
        <v>240</v>
      </c>
      <c r="H23" s="135" t="str">
        <f>IF(G23&gt;=Конфигуратор!$B$20,"Да","Нет")</f>
        <v>Да</v>
      </c>
      <c r="I23" s="133" t="str">
        <f t="shared" si="0"/>
        <v>IR-B3-SCсветодиод+варисторAC/DCДа</v>
      </c>
      <c r="J23" s="133" t="str">
        <f t="shared" si="1"/>
        <v>IR-B3-SCсветодиод+варисторДа</v>
      </c>
      <c r="K23" s="136" t="s">
        <v>294</v>
      </c>
    </row>
    <row r="24" spans="1:11" x14ac:dyDescent="0.3">
      <c r="A24" s="1" t="s">
        <v>254</v>
      </c>
      <c r="B24" s="2" t="s">
        <v>255</v>
      </c>
      <c r="C24" s="2"/>
      <c r="D24" s="8" t="s">
        <v>330</v>
      </c>
      <c r="E24" s="8" t="s">
        <v>310</v>
      </c>
      <c r="F24" s="124" t="s">
        <v>338</v>
      </c>
      <c r="G24" s="138">
        <v>250</v>
      </c>
      <c r="H24" s="135" t="str">
        <f>IF(G24&gt;=Конфигуратор!$B$20,"Да","Нет")</f>
        <v>Да</v>
      </c>
      <c r="I24" s="133" t="str">
        <f t="shared" si="0"/>
        <v>диодDCДа</v>
      </c>
      <c r="J24" s="133" t="str">
        <f t="shared" si="1"/>
        <v>диодДа</v>
      </c>
      <c r="K24" s="136" t="s">
        <v>254</v>
      </c>
    </row>
    <row r="25" spans="1:11" x14ac:dyDescent="0.3">
      <c r="A25" s="1" t="s">
        <v>264</v>
      </c>
      <c r="B25" s="2" t="s">
        <v>265</v>
      </c>
      <c r="C25" s="2"/>
      <c r="D25" s="8" t="s">
        <v>334</v>
      </c>
      <c r="E25" s="8" t="s">
        <v>310</v>
      </c>
      <c r="F25" s="131" t="s">
        <v>337</v>
      </c>
      <c r="G25" s="135">
        <v>24</v>
      </c>
      <c r="H25" s="135" t="str">
        <f>IF(G25&gt;=Конфигуратор!$B$20,"Да","Нет")</f>
        <v>Да</v>
      </c>
      <c r="I25" s="133" t="str">
        <f t="shared" si="0"/>
        <v>светодиод+диодDCДа</v>
      </c>
      <c r="J25" s="133" t="str">
        <f t="shared" si="1"/>
        <v>светодиод+диодДа</v>
      </c>
      <c r="K25" s="136" t="s">
        <v>264</v>
      </c>
    </row>
    <row r="26" spans="1:11" x14ac:dyDescent="0.3">
      <c r="A26" s="1" t="s">
        <v>266</v>
      </c>
      <c r="B26" s="2" t="s">
        <v>267</v>
      </c>
      <c r="C26" s="2"/>
      <c r="D26" s="8" t="s">
        <v>334</v>
      </c>
      <c r="E26" s="8" t="s">
        <v>310</v>
      </c>
      <c r="F26" s="124" t="s">
        <v>339</v>
      </c>
      <c r="G26" s="135">
        <v>240</v>
      </c>
      <c r="H26" s="135" t="str">
        <f>IF(G26&gt;=Конфигуратор!$B$20,"Да","Нет")</f>
        <v>Да</v>
      </c>
      <c r="I26" s="133" t="str">
        <f t="shared" si="0"/>
        <v>светодиод+диодDCДа</v>
      </c>
      <c r="J26" s="133" t="str">
        <f t="shared" si="1"/>
        <v>светодиод+диодДа</v>
      </c>
      <c r="K26" s="136" t="s">
        <v>266</v>
      </c>
    </row>
    <row r="27" spans="1:11" x14ac:dyDescent="0.3">
      <c r="A27" s="1" t="s">
        <v>260</v>
      </c>
      <c r="B27" s="2" t="s">
        <v>261</v>
      </c>
      <c r="C27" s="2"/>
      <c r="D27" s="8" t="s">
        <v>341</v>
      </c>
      <c r="E27" s="8" t="s">
        <v>310</v>
      </c>
      <c r="F27" s="131" t="s">
        <v>337</v>
      </c>
      <c r="G27" s="135">
        <v>24</v>
      </c>
      <c r="H27" s="135" t="str">
        <f>IF(G27&gt;=Конфигуратор!$B$20,"Да","Нет")</f>
        <v>Да</v>
      </c>
      <c r="I27" s="133" t="str">
        <f t="shared" si="0"/>
        <v>светодиод+диод (A1+)DCДа</v>
      </c>
      <c r="J27" s="133" t="str">
        <f t="shared" si="1"/>
        <v>светодиод+диод (A1+)Да</v>
      </c>
      <c r="K27" s="136" t="s">
        <v>260</v>
      </c>
    </row>
    <row r="28" spans="1:11" x14ac:dyDescent="0.3">
      <c r="A28" s="1" t="s">
        <v>262</v>
      </c>
      <c r="B28" s="2" t="s">
        <v>263</v>
      </c>
      <c r="C28" s="2"/>
      <c r="D28" s="8" t="s">
        <v>341</v>
      </c>
      <c r="E28" s="8" t="s">
        <v>310</v>
      </c>
      <c r="F28" s="124" t="s">
        <v>339</v>
      </c>
      <c r="G28" s="135">
        <v>240</v>
      </c>
      <c r="H28" s="135" t="str">
        <f>IF(G28&gt;=Конфигуратор!$B$20,"Да","Нет")</f>
        <v>Да</v>
      </c>
      <c r="I28" s="133" t="str">
        <f t="shared" si="0"/>
        <v>светодиод+диод (A1+)DCДа</v>
      </c>
      <c r="J28" s="133" t="str">
        <f t="shared" si="1"/>
        <v>светодиод+диод (A1+)Да</v>
      </c>
      <c r="K28" s="136" t="s">
        <v>262</v>
      </c>
    </row>
  </sheetData>
  <autoFilter ref="A1:K28" xr:uid="{04B247CA-6811-4EE1-85A6-FD06A8A5E274}"/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96938-5097-4A85-8CBE-A2995086905E}">
  <sheetPr codeName="Лист6"/>
  <dimension ref="A1:G28"/>
  <sheetViews>
    <sheetView topLeftCell="A10" workbookViewId="0">
      <selection activeCell="C14" sqref="C14"/>
    </sheetView>
  </sheetViews>
  <sheetFormatPr defaultRowHeight="17.25" x14ac:dyDescent="0.3"/>
  <cols>
    <col min="2" max="2" width="20.625" bestFit="1" customWidth="1"/>
    <col min="3" max="3" width="10.5" customWidth="1"/>
    <col min="4" max="4" width="15.75" customWidth="1"/>
    <col min="5" max="5" width="17" customWidth="1"/>
    <col min="6" max="6" width="17.375" customWidth="1"/>
    <col min="7" max="7" width="15.25" bestFit="1" customWidth="1"/>
  </cols>
  <sheetData>
    <row r="1" spans="1:7" x14ac:dyDescent="0.3">
      <c r="A1" t="s">
        <v>349</v>
      </c>
    </row>
    <row r="2" spans="1:7" ht="69" x14ac:dyDescent="0.3">
      <c r="B2" s="78" t="s">
        <v>304</v>
      </c>
      <c r="C2" s="78" t="s">
        <v>305</v>
      </c>
      <c r="D2" s="78" t="s">
        <v>306</v>
      </c>
      <c r="E2" s="78" t="s">
        <v>312</v>
      </c>
    </row>
    <row r="3" spans="1:7" x14ac:dyDescent="0.3">
      <c r="B3" s="7" t="s">
        <v>311</v>
      </c>
      <c r="C3" s="7">
        <v>12</v>
      </c>
      <c r="D3" s="7" t="s">
        <v>313</v>
      </c>
      <c r="E3" s="7">
        <v>5</v>
      </c>
    </row>
    <row r="4" spans="1:7" x14ac:dyDescent="0.3">
      <c r="B4" s="7" t="s">
        <v>310</v>
      </c>
      <c r="C4" s="7">
        <v>24</v>
      </c>
      <c r="D4" s="7" t="s">
        <v>314</v>
      </c>
      <c r="E4" s="7">
        <v>6</v>
      </c>
    </row>
    <row r="5" spans="1:7" x14ac:dyDescent="0.3">
      <c r="B5" s="7" t="s">
        <v>309</v>
      </c>
      <c r="C5" s="7">
        <v>48</v>
      </c>
      <c r="D5" s="7" t="s">
        <v>316</v>
      </c>
      <c r="E5" s="7">
        <v>8</v>
      </c>
    </row>
    <row r="6" spans="1:7" x14ac:dyDescent="0.3">
      <c r="C6" s="7">
        <v>110</v>
      </c>
      <c r="D6" s="7" t="s">
        <v>315</v>
      </c>
      <c r="E6" s="7">
        <v>10</v>
      </c>
    </row>
    <row r="7" spans="1:7" x14ac:dyDescent="0.3">
      <c r="C7" s="7">
        <v>115</v>
      </c>
      <c r="E7" s="7">
        <v>12</v>
      </c>
    </row>
    <row r="8" spans="1:7" x14ac:dyDescent="0.3">
      <c r="C8" s="7">
        <v>220</v>
      </c>
      <c r="E8" s="7">
        <v>16</v>
      </c>
    </row>
    <row r="9" spans="1:7" x14ac:dyDescent="0.3">
      <c r="C9" s="7">
        <v>230</v>
      </c>
    </row>
    <row r="10" spans="1:7" x14ac:dyDescent="0.3">
      <c r="A10" t="s">
        <v>360</v>
      </c>
    </row>
    <row r="11" spans="1:7" ht="51.75" customHeight="1" x14ac:dyDescent="0.3">
      <c r="B11" s="78" t="s">
        <v>307</v>
      </c>
      <c r="C11" s="79" t="s">
        <v>368</v>
      </c>
      <c r="D11" s="79"/>
      <c r="E11" s="80" t="s">
        <v>322</v>
      </c>
      <c r="F11" s="78" t="s">
        <v>308</v>
      </c>
      <c r="G11" s="78" t="s">
        <v>319</v>
      </c>
    </row>
    <row r="12" spans="1:7" x14ac:dyDescent="0.3">
      <c r="B12" s="8" t="s">
        <v>318</v>
      </c>
      <c r="C12" s="8" t="s">
        <v>369</v>
      </c>
      <c r="D12" s="8" t="s">
        <v>374</v>
      </c>
      <c r="E12" s="8" t="s">
        <v>244</v>
      </c>
      <c r="F12" s="8" t="s">
        <v>250</v>
      </c>
      <c r="G12" s="9" t="s">
        <v>230</v>
      </c>
    </row>
    <row r="13" spans="1:7" x14ac:dyDescent="0.3">
      <c r="B13" s="8" t="s">
        <v>399</v>
      </c>
      <c r="C13" s="8" t="s">
        <v>370</v>
      </c>
      <c r="D13" s="8" t="s">
        <v>375</v>
      </c>
      <c r="E13" s="8" t="s">
        <v>238</v>
      </c>
      <c r="F13" s="8" t="s">
        <v>252</v>
      </c>
      <c r="G13" s="8" t="s">
        <v>234</v>
      </c>
    </row>
    <row r="14" spans="1:7" x14ac:dyDescent="0.3">
      <c r="B14" s="90"/>
      <c r="C14" s="90"/>
      <c r="D14" s="90" t="str">
        <f>""</f>
        <v/>
      </c>
      <c r="E14" s="8" t="s">
        <v>240</v>
      </c>
      <c r="F14" s="8" t="s">
        <v>323</v>
      </c>
      <c r="G14" s="8" t="s">
        <v>242</v>
      </c>
    </row>
    <row r="15" spans="1:7" x14ac:dyDescent="0.3">
      <c r="B15" s="90"/>
      <c r="C15" s="90"/>
      <c r="D15" s="90"/>
      <c r="E15" s="8" t="s">
        <v>246</v>
      </c>
      <c r="F15" s="90"/>
      <c r="G15" s="8" t="s">
        <v>323</v>
      </c>
    </row>
    <row r="16" spans="1:7" x14ac:dyDescent="0.3">
      <c r="B16" s="90"/>
      <c r="C16" s="90"/>
      <c r="D16" s="90"/>
      <c r="E16" s="8" t="s">
        <v>236</v>
      </c>
      <c r="F16" s="90"/>
      <c r="G16" s="90"/>
    </row>
    <row r="17" spans="1:7" x14ac:dyDescent="0.3">
      <c r="B17" s="90"/>
      <c r="C17" s="90"/>
      <c r="D17" s="90"/>
      <c r="E17" s="8" t="s">
        <v>248</v>
      </c>
      <c r="F17" s="90"/>
      <c r="G17" s="90"/>
    </row>
    <row r="18" spans="1:7" x14ac:dyDescent="0.3">
      <c r="B18" s="90"/>
      <c r="C18" s="90"/>
      <c r="D18" s="90"/>
      <c r="E18" s="8" t="s">
        <v>232</v>
      </c>
      <c r="F18" s="90"/>
      <c r="G18" s="90"/>
    </row>
    <row r="19" spans="1:7" ht="51.75" x14ac:dyDescent="0.3">
      <c r="B19" s="90"/>
      <c r="C19" s="90"/>
      <c r="D19" s="90"/>
      <c r="E19" s="91" t="s">
        <v>371</v>
      </c>
      <c r="F19" s="90"/>
      <c r="G19" s="90"/>
    </row>
    <row r="20" spans="1:7" x14ac:dyDescent="0.3">
      <c r="A20" t="s">
        <v>372</v>
      </c>
    </row>
    <row r="21" spans="1:7" ht="86.25" x14ac:dyDescent="0.3">
      <c r="B21" s="7" t="s">
        <v>329</v>
      </c>
      <c r="C21" s="78" t="s">
        <v>304</v>
      </c>
      <c r="D21" s="78" t="s">
        <v>336</v>
      </c>
    </row>
    <row r="22" spans="1:7" x14ac:dyDescent="0.3">
      <c r="B22" s="8" t="s">
        <v>331</v>
      </c>
      <c r="C22" s="8" t="s">
        <v>310</v>
      </c>
      <c r="D22" s="25" t="s">
        <v>337</v>
      </c>
      <c r="E22">
        <v>12</v>
      </c>
    </row>
    <row r="23" spans="1:7" x14ac:dyDescent="0.3">
      <c r="B23" s="8" t="s">
        <v>341</v>
      </c>
      <c r="C23" s="8" t="s">
        <v>309</v>
      </c>
      <c r="D23" s="8" t="s">
        <v>338</v>
      </c>
    </row>
    <row r="24" spans="1:7" x14ac:dyDescent="0.3">
      <c r="B24" s="8" t="s">
        <v>334</v>
      </c>
      <c r="D24" s="8">
        <v>24</v>
      </c>
    </row>
    <row r="25" spans="1:7" x14ac:dyDescent="0.3">
      <c r="B25" s="8" t="s">
        <v>335</v>
      </c>
      <c r="D25" s="8" t="s">
        <v>340</v>
      </c>
    </row>
    <row r="26" spans="1:7" x14ac:dyDescent="0.3">
      <c r="B26" s="8" t="s">
        <v>332</v>
      </c>
      <c r="D26" s="8" t="s">
        <v>339</v>
      </c>
    </row>
    <row r="27" spans="1:7" x14ac:dyDescent="0.3">
      <c r="B27" s="8" t="s">
        <v>333</v>
      </c>
      <c r="D27" s="8">
        <v>120</v>
      </c>
    </row>
    <row r="28" spans="1:7" x14ac:dyDescent="0.3">
      <c r="B28" s="8" t="s">
        <v>330</v>
      </c>
      <c r="D28" s="8">
        <v>240</v>
      </c>
    </row>
  </sheetData>
  <sortState ref="E18:E22">
    <sortCondition ref="E17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7"/>
  <dimension ref="A2:L163"/>
  <sheetViews>
    <sheetView topLeftCell="A142" workbookViewId="0">
      <selection activeCell="L175" sqref="L175"/>
    </sheetView>
  </sheetViews>
  <sheetFormatPr defaultRowHeight="17.25" x14ac:dyDescent="0.3"/>
  <cols>
    <col min="1" max="1" width="15.75" bestFit="1" customWidth="1"/>
    <col min="11" max="11" width="15.5" bestFit="1" customWidth="1"/>
    <col min="15" max="15" width="15.75" bestFit="1" customWidth="1"/>
  </cols>
  <sheetData>
    <row r="2" spans="1:12" x14ac:dyDescent="0.3">
      <c r="K2" s="1" t="s">
        <v>8</v>
      </c>
      <c r="L2" s="2" t="s">
        <v>9</v>
      </c>
    </row>
    <row r="3" spans="1:12" x14ac:dyDescent="0.3">
      <c r="K3" s="1" t="s">
        <v>10</v>
      </c>
      <c r="L3" s="2" t="s">
        <v>11</v>
      </c>
    </row>
    <row r="4" spans="1:12" x14ac:dyDescent="0.3">
      <c r="K4" s="1" t="s">
        <v>0</v>
      </c>
      <c r="L4" s="2" t="s">
        <v>1</v>
      </c>
    </row>
    <row r="5" spans="1:12" x14ac:dyDescent="0.3">
      <c r="K5" s="1" t="s">
        <v>2</v>
      </c>
      <c r="L5" s="2" t="s">
        <v>3</v>
      </c>
    </row>
    <row r="6" spans="1:12" x14ac:dyDescent="0.3">
      <c r="K6" s="1" t="s">
        <v>12</v>
      </c>
      <c r="L6" s="2" t="s">
        <v>13</v>
      </c>
    </row>
    <row r="7" spans="1:12" x14ac:dyDescent="0.3">
      <c r="K7" s="1" t="s">
        <v>14</v>
      </c>
      <c r="L7" s="2" t="s">
        <v>15</v>
      </c>
    </row>
    <row r="8" spans="1:12" x14ac:dyDescent="0.3">
      <c r="K8" s="1" t="s">
        <v>4</v>
      </c>
      <c r="L8" s="2" t="s">
        <v>5</v>
      </c>
    </row>
    <row r="9" spans="1:12" x14ac:dyDescent="0.3">
      <c r="K9" s="1" t="s">
        <v>6</v>
      </c>
      <c r="L9" s="2" t="s">
        <v>7</v>
      </c>
    </row>
    <row r="10" spans="1:12" x14ac:dyDescent="0.3">
      <c r="A10" s="3"/>
      <c r="B10" s="3"/>
    </row>
    <row r="11" spans="1:12" x14ac:dyDescent="0.3">
      <c r="K11" s="1" t="s">
        <v>20</v>
      </c>
      <c r="L11" s="2" t="s">
        <v>21</v>
      </c>
    </row>
    <row r="12" spans="1:12" x14ac:dyDescent="0.3">
      <c r="K12" s="1" t="s">
        <v>18</v>
      </c>
      <c r="L12" s="2" t="s">
        <v>19</v>
      </c>
    </row>
    <row r="13" spans="1:12" x14ac:dyDescent="0.3">
      <c r="K13" s="4" t="s">
        <v>22</v>
      </c>
      <c r="L13" s="5" t="s">
        <v>23</v>
      </c>
    </row>
    <row r="14" spans="1:12" x14ac:dyDescent="0.3">
      <c r="K14" s="1" t="s">
        <v>16</v>
      </c>
      <c r="L14" s="2" t="s">
        <v>17</v>
      </c>
    </row>
    <row r="15" spans="1:12" x14ac:dyDescent="0.3">
      <c r="A15" s="3"/>
      <c r="B15" s="3"/>
    </row>
    <row r="16" spans="1:12" x14ac:dyDescent="0.3">
      <c r="K16" s="1" t="s">
        <v>24</v>
      </c>
      <c r="L16" s="2" t="s">
        <v>25</v>
      </c>
    </row>
    <row r="17" spans="1:12" x14ac:dyDescent="0.3">
      <c r="K17" s="1" t="s">
        <v>26</v>
      </c>
      <c r="L17" s="2" t="s">
        <v>27</v>
      </c>
    </row>
    <row r="18" spans="1:12" x14ac:dyDescent="0.3">
      <c r="K18" s="4" t="s">
        <v>28</v>
      </c>
      <c r="L18" s="5" t="s">
        <v>29</v>
      </c>
    </row>
    <row r="19" spans="1:12" x14ac:dyDescent="0.3">
      <c r="K19" s="4" t="s">
        <v>30</v>
      </c>
      <c r="L19" s="5" t="s">
        <v>31</v>
      </c>
    </row>
    <row r="20" spans="1:12" x14ac:dyDescent="0.3">
      <c r="K20" s="1" t="s">
        <v>32</v>
      </c>
      <c r="L20" s="2" t="s">
        <v>33</v>
      </c>
    </row>
    <row r="21" spans="1:12" x14ac:dyDescent="0.3">
      <c r="K21" s="4" t="s">
        <v>34</v>
      </c>
      <c r="L21" s="5" t="s">
        <v>35</v>
      </c>
    </row>
    <row r="22" spans="1:12" x14ac:dyDescent="0.3">
      <c r="K22" s="1" t="s">
        <v>36</v>
      </c>
      <c r="L22" s="2" t="s">
        <v>37</v>
      </c>
    </row>
    <row r="23" spans="1:12" x14ac:dyDescent="0.3">
      <c r="K23" s="4" t="s">
        <v>38</v>
      </c>
      <c r="L23" s="5" t="s">
        <v>39</v>
      </c>
    </row>
    <row r="24" spans="1:12" x14ac:dyDescent="0.3">
      <c r="K24" s="4" t="s">
        <v>40</v>
      </c>
      <c r="L24" s="5" t="s">
        <v>41</v>
      </c>
    </row>
    <row r="25" spans="1:12" x14ac:dyDescent="0.3">
      <c r="K25" s="1" t="s">
        <v>42</v>
      </c>
      <c r="L25" s="2" t="s">
        <v>43</v>
      </c>
    </row>
    <row r="26" spans="1:12" x14ac:dyDescent="0.3">
      <c r="A26" s="3"/>
      <c r="B26" s="3"/>
    </row>
    <row r="27" spans="1:12" x14ac:dyDescent="0.3">
      <c r="K27" s="1" t="s">
        <v>44</v>
      </c>
      <c r="L27" s="2" t="s">
        <v>45</v>
      </c>
    </row>
    <row r="28" spans="1:12" x14ac:dyDescent="0.3">
      <c r="K28" s="1" t="s">
        <v>46</v>
      </c>
      <c r="L28" s="2" t="s">
        <v>47</v>
      </c>
    </row>
    <row r="29" spans="1:12" x14ac:dyDescent="0.3">
      <c r="K29" s="1" t="s">
        <v>48</v>
      </c>
      <c r="L29" s="2" t="s">
        <v>49</v>
      </c>
    </row>
    <row r="30" spans="1:12" x14ac:dyDescent="0.3">
      <c r="K30" s="1" t="s">
        <v>50</v>
      </c>
      <c r="L30" s="2" t="s">
        <v>51</v>
      </c>
    </row>
    <row r="31" spans="1:12" x14ac:dyDescent="0.3">
      <c r="K31" s="1" t="s">
        <v>52</v>
      </c>
      <c r="L31" s="2" t="s">
        <v>53</v>
      </c>
    </row>
    <row r="32" spans="1:12" x14ac:dyDescent="0.3">
      <c r="A32" s="6"/>
      <c r="B32" s="6"/>
    </row>
    <row r="33" spans="1:2" x14ac:dyDescent="0.3">
      <c r="A33" s="3"/>
      <c r="B33" s="3"/>
    </row>
    <row r="34" spans="1:2" x14ac:dyDescent="0.3">
      <c r="A34" s="1" t="s">
        <v>54</v>
      </c>
      <c r="B34" s="2" t="s">
        <v>55</v>
      </c>
    </row>
    <row r="35" spans="1:2" x14ac:dyDescent="0.3">
      <c r="A35" s="1" t="s">
        <v>56</v>
      </c>
      <c r="B35" s="2" t="s">
        <v>57</v>
      </c>
    </row>
    <row r="36" spans="1:2" x14ac:dyDescent="0.3">
      <c r="A36" s="1" t="s">
        <v>58</v>
      </c>
      <c r="B36" s="2" t="s">
        <v>59</v>
      </c>
    </row>
    <row r="37" spans="1:2" x14ac:dyDescent="0.3">
      <c r="A37" s="1" t="s">
        <v>60</v>
      </c>
      <c r="B37" s="2" t="s">
        <v>61</v>
      </c>
    </row>
    <row r="38" spans="1:2" x14ac:dyDescent="0.3">
      <c r="A38" s="1" t="s">
        <v>62</v>
      </c>
      <c r="B38" s="2" t="s">
        <v>63</v>
      </c>
    </row>
    <row r="39" spans="1:2" x14ac:dyDescent="0.3">
      <c r="A39" s="1" t="s">
        <v>64</v>
      </c>
      <c r="B39" s="2" t="s">
        <v>65</v>
      </c>
    </row>
    <row r="40" spans="1:2" x14ac:dyDescent="0.3">
      <c r="A40" s="1" t="s">
        <v>66</v>
      </c>
      <c r="B40" s="2" t="s">
        <v>67</v>
      </c>
    </row>
    <row r="41" spans="1:2" x14ac:dyDescent="0.3">
      <c r="A41" s="1" t="s">
        <v>68</v>
      </c>
      <c r="B41" s="2" t="s">
        <v>69</v>
      </c>
    </row>
    <row r="42" spans="1:2" x14ac:dyDescent="0.3">
      <c r="A42" s="1" t="s">
        <v>70</v>
      </c>
      <c r="B42" s="2" t="s">
        <v>71</v>
      </c>
    </row>
    <row r="43" spans="1:2" x14ac:dyDescent="0.3">
      <c r="A43" s="1" t="s">
        <v>72</v>
      </c>
      <c r="B43" s="2" t="s">
        <v>73</v>
      </c>
    </row>
    <row r="44" spans="1:2" x14ac:dyDescent="0.3">
      <c r="A44" s="1" t="s">
        <v>74</v>
      </c>
      <c r="B44" s="2" t="s">
        <v>75</v>
      </c>
    </row>
    <row r="45" spans="1:2" x14ac:dyDescent="0.3">
      <c r="A45" s="4" t="s">
        <v>76</v>
      </c>
      <c r="B45" s="5" t="s">
        <v>77</v>
      </c>
    </row>
    <row r="46" spans="1:2" x14ac:dyDescent="0.3">
      <c r="A46" s="1" t="s">
        <v>78</v>
      </c>
      <c r="B46" s="2" t="s">
        <v>79</v>
      </c>
    </row>
    <row r="47" spans="1:2" x14ac:dyDescent="0.3">
      <c r="A47" s="1" t="s">
        <v>80</v>
      </c>
      <c r="B47" s="2" t="s">
        <v>81</v>
      </c>
    </row>
    <row r="48" spans="1:2" x14ac:dyDescent="0.3">
      <c r="A48" s="1" t="s">
        <v>82</v>
      </c>
      <c r="B48" s="2" t="s">
        <v>83</v>
      </c>
    </row>
    <row r="49" spans="1:2" x14ac:dyDescent="0.3">
      <c r="A49" s="1" t="s">
        <v>84</v>
      </c>
      <c r="B49" s="2" t="s">
        <v>85</v>
      </c>
    </row>
    <row r="50" spans="1:2" x14ac:dyDescent="0.3">
      <c r="A50" s="3"/>
      <c r="B50" s="3"/>
    </row>
    <row r="51" spans="1:2" x14ac:dyDescent="0.3">
      <c r="A51" s="1" t="s">
        <v>86</v>
      </c>
      <c r="B51" s="2" t="s">
        <v>87</v>
      </c>
    </row>
    <row r="52" spans="1:2" x14ac:dyDescent="0.3">
      <c r="A52" s="1" t="s">
        <v>88</v>
      </c>
      <c r="B52" s="2" t="s">
        <v>89</v>
      </c>
    </row>
    <row r="53" spans="1:2" x14ac:dyDescent="0.3">
      <c r="A53" s="1" t="s">
        <v>90</v>
      </c>
      <c r="B53" s="2" t="s">
        <v>91</v>
      </c>
    </row>
    <row r="54" spans="1:2" x14ac:dyDescent="0.3">
      <c r="A54" s="1" t="s">
        <v>92</v>
      </c>
      <c r="B54" s="2" t="s">
        <v>93</v>
      </c>
    </row>
    <row r="55" spans="1:2" x14ac:dyDescent="0.3">
      <c r="A55" s="4" t="s">
        <v>132</v>
      </c>
      <c r="B55" s="5" t="s">
        <v>133</v>
      </c>
    </row>
    <row r="56" spans="1:2" x14ac:dyDescent="0.3">
      <c r="A56" s="4" t="s">
        <v>134</v>
      </c>
      <c r="B56" s="5" t="s">
        <v>135</v>
      </c>
    </row>
    <row r="57" spans="1:2" x14ac:dyDescent="0.3">
      <c r="A57" s="4" t="s">
        <v>138</v>
      </c>
      <c r="B57" s="5" t="s">
        <v>139</v>
      </c>
    </row>
    <row r="58" spans="1:2" x14ac:dyDescent="0.3">
      <c r="A58" s="4" t="s">
        <v>140</v>
      </c>
      <c r="B58" s="5" t="s">
        <v>141</v>
      </c>
    </row>
    <row r="59" spans="1:2" x14ac:dyDescent="0.3">
      <c r="A59" s="4" t="s">
        <v>142</v>
      </c>
      <c r="B59" s="5" t="s">
        <v>143</v>
      </c>
    </row>
    <row r="60" spans="1:2" x14ac:dyDescent="0.3">
      <c r="A60" s="4" t="s">
        <v>144</v>
      </c>
      <c r="B60" s="5" t="s">
        <v>145</v>
      </c>
    </row>
    <row r="61" spans="1:2" x14ac:dyDescent="0.3">
      <c r="A61" s="4" t="s">
        <v>146</v>
      </c>
      <c r="B61" s="5" t="s">
        <v>147</v>
      </c>
    </row>
    <row r="62" spans="1:2" x14ac:dyDescent="0.3">
      <c r="A62" s="4" t="s">
        <v>148</v>
      </c>
      <c r="B62" s="5" t="s">
        <v>149</v>
      </c>
    </row>
    <row r="63" spans="1:2" x14ac:dyDescent="0.3">
      <c r="A63" s="1" t="s">
        <v>94</v>
      </c>
      <c r="B63" s="2" t="s">
        <v>95</v>
      </c>
    </row>
    <row r="64" spans="1:2" x14ac:dyDescent="0.3">
      <c r="A64" s="1" t="s">
        <v>96</v>
      </c>
      <c r="B64" s="2" t="s">
        <v>97</v>
      </c>
    </row>
    <row r="65" spans="1:2" x14ac:dyDescent="0.3">
      <c r="A65" s="1" t="s">
        <v>98</v>
      </c>
      <c r="B65" s="2" t="s">
        <v>99</v>
      </c>
    </row>
    <row r="66" spans="1:2" x14ac:dyDescent="0.3">
      <c r="A66" s="1" t="s">
        <v>100</v>
      </c>
      <c r="B66" s="2" t="s">
        <v>101</v>
      </c>
    </row>
    <row r="67" spans="1:2" x14ac:dyDescent="0.3">
      <c r="A67" s="1" t="s">
        <v>102</v>
      </c>
      <c r="B67" s="2" t="s">
        <v>103</v>
      </c>
    </row>
    <row r="68" spans="1:2" x14ac:dyDescent="0.3">
      <c r="A68" s="4" t="s">
        <v>136</v>
      </c>
      <c r="B68" s="5" t="s">
        <v>137</v>
      </c>
    </row>
    <row r="69" spans="1:2" x14ac:dyDescent="0.3">
      <c r="A69" s="4" t="s">
        <v>150</v>
      </c>
      <c r="B69" s="5" t="s">
        <v>151</v>
      </c>
    </row>
    <row r="70" spans="1:2" x14ac:dyDescent="0.3">
      <c r="A70" s="1" t="s">
        <v>152</v>
      </c>
      <c r="B70" s="2" t="s">
        <v>153</v>
      </c>
    </row>
    <row r="71" spans="1:2" x14ac:dyDescent="0.3">
      <c r="A71" s="1" t="s">
        <v>154</v>
      </c>
      <c r="B71" s="2" t="s">
        <v>155</v>
      </c>
    </row>
    <row r="72" spans="1:2" x14ac:dyDescent="0.3">
      <c r="A72" s="4" t="s">
        <v>156</v>
      </c>
      <c r="B72" s="5" t="s">
        <v>157</v>
      </c>
    </row>
    <row r="73" spans="1:2" x14ac:dyDescent="0.3">
      <c r="A73" s="4" t="s">
        <v>158</v>
      </c>
      <c r="B73" s="5" t="s">
        <v>159</v>
      </c>
    </row>
    <row r="74" spans="1:2" x14ac:dyDescent="0.3">
      <c r="A74" s="4" t="s">
        <v>160</v>
      </c>
      <c r="B74" s="5" t="s">
        <v>161</v>
      </c>
    </row>
    <row r="75" spans="1:2" x14ac:dyDescent="0.3">
      <c r="A75" s="1" t="s">
        <v>162</v>
      </c>
      <c r="B75" s="2" t="s">
        <v>163</v>
      </c>
    </row>
    <row r="76" spans="1:2" x14ac:dyDescent="0.3">
      <c r="A76" s="1" t="s">
        <v>104</v>
      </c>
      <c r="B76" s="2" t="s">
        <v>105</v>
      </c>
    </row>
    <row r="77" spans="1:2" x14ac:dyDescent="0.3">
      <c r="A77" s="1" t="s">
        <v>106</v>
      </c>
      <c r="B77" s="2" t="s">
        <v>107</v>
      </c>
    </row>
    <row r="78" spans="1:2" x14ac:dyDescent="0.3">
      <c r="A78" s="1" t="s">
        <v>108</v>
      </c>
      <c r="B78" s="2" t="s">
        <v>109</v>
      </c>
    </row>
    <row r="79" spans="1:2" x14ac:dyDescent="0.3">
      <c r="A79" s="1" t="s">
        <v>110</v>
      </c>
      <c r="B79" s="2" t="s">
        <v>111</v>
      </c>
    </row>
    <row r="80" spans="1:2" x14ac:dyDescent="0.3">
      <c r="A80" s="1" t="s">
        <v>164</v>
      </c>
      <c r="B80" s="2" t="s">
        <v>165</v>
      </c>
    </row>
    <row r="81" spans="1:2" x14ac:dyDescent="0.3">
      <c r="A81" s="4" t="s">
        <v>166</v>
      </c>
      <c r="B81" s="5" t="s">
        <v>167</v>
      </c>
    </row>
    <row r="82" spans="1:2" x14ac:dyDescent="0.3">
      <c r="A82" s="4" t="s">
        <v>168</v>
      </c>
      <c r="B82" s="5" t="s">
        <v>169</v>
      </c>
    </row>
    <row r="83" spans="1:2" x14ac:dyDescent="0.3">
      <c r="A83" s="1" t="s">
        <v>170</v>
      </c>
      <c r="B83" s="2" t="s">
        <v>171</v>
      </c>
    </row>
    <row r="84" spans="1:2" x14ac:dyDescent="0.3">
      <c r="A84" s="1" t="s">
        <v>172</v>
      </c>
      <c r="B84" s="2" t="s">
        <v>173</v>
      </c>
    </row>
    <row r="85" spans="1:2" x14ac:dyDescent="0.3">
      <c r="A85" s="1" t="s">
        <v>174</v>
      </c>
      <c r="B85" s="2" t="s">
        <v>175</v>
      </c>
    </row>
    <row r="86" spans="1:2" x14ac:dyDescent="0.3">
      <c r="A86" s="1" t="s">
        <v>176</v>
      </c>
      <c r="B86" s="2" t="s">
        <v>177</v>
      </c>
    </row>
    <row r="87" spans="1:2" x14ac:dyDescent="0.3">
      <c r="A87" s="4" t="s">
        <v>178</v>
      </c>
      <c r="B87" s="5" t="s">
        <v>179</v>
      </c>
    </row>
    <row r="88" spans="1:2" x14ac:dyDescent="0.3">
      <c r="A88" s="4" t="s">
        <v>180</v>
      </c>
      <c r="B88" s="5" t="s">
        <v>181</v>
      </c>
    </row>
    <row r="89" spans="1:2" x14ac:dyDescent="0.3">
      <c r="A89" s="1" t="s">
        <v>112</v>
      </c>
      <c r="B89" s="2" t="s">
        <v>113</v>
      </c>
    </row>
    <row r="90" spans="1:2" x14ac:dyDescent="0.3">
      <c r="A90" s="1" t="s">
        <v>186</v>
      </c>
      <c r="B90" s="2" t="s">
        <v>187</v>
      </c>
    </row>
    <row r="91" spans="1:2" x14ac:dyDescent="0.3">
      <c r="A91" s="4" t="s">
        <v>190</v>
      </c>
      <c r="B91" s="5" t="s">
        <v>191</v>
      </c>
    </row>
    <row r="92" spans="1:2" x14ac:dyDescent="0.3">
      <c r="A92" s="4" t="s">
        <v>194</v>
      </c>
      <c r="B92" s="5" t="s">
        <v>195</v>
      </c>
    </row>
    <row r="93" spans="1:2" x14ac:dyDescent="0.3">
      <c r="A93" s="4" t="s">
        <v>198</v>
      </c>
      <c r="B93" s="5" t="s">
        <v>199</v>
      </c>
    </row>
    <row r="94" spans="1:2" x14ac:dyDescent="0.3">
      <c r="A94" s="1" t="s">
        <v>116</v>
      </c>
      <c r="B94" s="2" t="s">
        <v>117</v>
      </c>
    </row>
    <row r="95" spans="1:2" x14ac:dyDescent="0.3">
      <c r="A95" s="1" t="s">
        <v>182</v>
      </c>
      <c r="B95" s="2" t="s">
        <v>183</v>
      </c>
    </row>
    <row r="96" spans="1:2" x14ac:dyDescent="0.3">
      <c r="A96" s="1" t="s">
        <v>114</v>
      </c>
      <c r="B96" s="2" t="s">
        <v>115</v>
      </c>
    </row>
    <row r="97" spans="1:2" x14ac:dyDescent="0.3">
      <c r="A97" s="1" t="s">
        <v>184</v>
      </c>
      <c r="B97" s="2" t="s">
        <v>185</v>
      </c>
    </row>
    <row r="98" spans="1:2" x14ac:dyDescent="0.3">
      <c r="A98" s="1" t="s">
        <v>188</v>
      </c>
      <c r="B98" s="2" t="s">
        <v>189</v>
      </c>
    </row>
    <row r="99" spans="1:2" x14ac:dyDescent="0.3">
      <c r="A99" s="1" t="s">
        <v>192</v>
      </c>
      <c r="B99" s="2" t="s">
        <v>193</v>
      </c>
    </row>
    <row r="100" spans="1:2" x14ac:dyDescent="0.3">
      <c r="A100" s="1" t="s">
        <v>196</v>
      </c>
      <c r="B100" s="2" t="s">
        <v>197</v>
      </c>
    </row>
    <row r="101" spans="1:2" x14ac:dyDescent="0.3">
      <c r="A101" s="1" t="s">
        <v>200</v>
      </c>
      <c r="B101" s="2" t="s">
        <v>201</v>
      </c>
    </row>
    <row r="102" spans="1:2" x14ac:dyDescent="0.3">
      <c r="A102" s="1" t="s">
        <v>118</v>
      </c>
      <c r="B102" s="2" t="s">
        <v>119</v>
      </c>
    </row>
    <row r="103" spans="1:2" x14ac:dyDescent="0.3">
      <c r="A103" s="4" t="s">
        <v>202</v>
      </c>
      <c r="B103" s="5" t="s">
        <v>203</v>
      </c>
    </row>
    <row r="104" spans="1:2" x14ac:dyDescent="0.3">
      <c r="A104" s="4" t="s">
        <v>120</v>
      </c>
      <c r="B104" s="5" t="s">
        <v>121</v>
      </c>
    </row>
    <row r="105" spans="1:2" x14ac:dyDescent="0.3">
      <c r="A105" s="4" t="s">
        <v>208</v>
      </c>
      <c r="B105" s="5" t="s">
        <v>209</v>
      </c>
    </row>
    <row r="106" spans="1:2" x14ac:dyDescent="0.3">
      <c r="A106" s="4" t="s">
        <v>212</v>
      </c>
      <c r="B106" s="5" t="s">
        <v>213</v>
      </c>
    </row>
    <row r="107" spans="1:2" x14ac:dyDescent="0.3">
      <c r="A107" s="4" t="s">
        <v>216</v>
      </c>
      <c r="B107" s="5" t="s">
        <v>217</v>
      </c>
    </row>
    <row r="108" spans="1:2" x14ac:dyDescent="0.3">
      <c r="A108" s="4" t="s">
        <v>220</v>
      </c>
      <c r="B108" s="5" t="s">
        <v>221</v>
      </c>
    </row>
    <row r="109" spans="1:2" x14ac:dyDescent="0.3">
      <c r="A109" s="4" t="s">
        <v>204</v>
      </c>
      <c r="B109" s="5" t="s">
        <v>205</v>
      </c>
    </row>
    <row r="110" spans="1:2" x14ac:dyDescent="0.3">
      <c r="A110" s="1" t="s">
        <v>122</v>
      </c>
      <c r="B110" s="2" t="s">
        <v>123</v>
      </c>
    </row>
    <row r="111" spans="1:2" x14ac:dyDescent="0.3">
      <c r="A111" s="1" t="s">
        <v>206</v>
      </c>
      <c r="B111" s="2" t="s">
        <v>207</v>
      </c>
    </row>
    <row r="112" spans="1:2" x14ac:dyDescent="0.3">
      <c r="A112" s="4" t="s">
        <v>210</v>
      </c>
      <c r="B112" s="5" t="s">
        <v>211</v>
      </c>
    </row>
    <row r="113" spans="1:2" x14ac:dyDescent="0.3">
      <c r="A113" s="1" t="s">
        <v>214</v>
      </c>
      <c r="B113" s="2" t="s">
        <v>215</v>
      </c>
    </row>
    <row r="114" spans="1:2" x14ac:dyDescent="0.3">
      <c r="A114" s="4" t="s">
        <v>218</v>
      </c>
      <c r="B114" s="5" t="s">
        <v>219</v>
      </c>
    </row>
    <row r="115" spans="1:2" x14ac:dyDescent="0.3">
      <c r="A115" s="1" t="s">
        <v>124</v>
      </c>
      <c r="B115" s="2" t="s">
        <v>125</v>
      </c>
    </row>
    <row r="116" spans="1:2" x14ac:dyDescent="0.3">
      <c r="A116" s="1" t="s">
        <v>222</v>
      </c>
      <c r="B116" s="2" t="s">
        <v>223</v>
      </c>
    </row>
    <row r="117" spans="1:2" x14ac:dyDescent="0.3">
      <c r="A117" s="1" t="s">
        <v>126</v>
      </c>
      <c r="B117" s="2" t="s">
        <v>127</v>
      </c>
    </row>
    <row r="118" spans="1:2" x14ac:dyDescent="0.3">
      <c r="A118" s="1" t="s">
        <v>224</v>
      </c>
      <c r="B118" s="2" t="s">
        <v>225</v>
      </c>
    </row>
    <row r="119" spans="1:2" x14ac:dyDescent="0.3">
      <c r="A119" s="4" t="s">
        <v>226</v>
      </c>
      <c r="B119" s="5" t="s">
        <v>227</v>
      </c>
    </row>
    <row r="120" spans="1:2" x14ac:dyDescent="0.3">
      <c r="A120" s="4" t="s">
        <v>128</v>
      </c>
      <c r="B120" s="5" t="s">
        <v>129</v>
      </c>
    </row>
    <row r="121" spans="1:2" x14ac:dyDescent="0.3">
      <c r="A121" s="1" t="s">
        <v>228</v>
      </c>
      <c r="B121" s="2" t="s">
        <v>229</v>
      </c>
    </row>
    <row r="122" spans="1:2" x14ac:dyDescent="0.3">
      <c r="A122" s="1" t="s">
        <v>130</v>
      </c>
      <c r="B122" s="2" t="s">
        <v>131</v>
      </c>
    </row>
    <row r="123" spans="1:2" x14ac:dyDescent="0.3">
      <c r="A123" s="3"/>
      <c r="B123" s="3"/>
    </row>
    <row r="124" spans="1:2" x14ac:dyDescent="0.3">
      <c r="A124" s="1" t="s">
        <v>230</v>
      </c>
      <c r="B124" s="2" t="s">
        <v>231</v>
      </c>
    </row>
    <row r="125" spans="1:2" x14ac:dyDescent="0.3">
      <c r="A125" s="1" t="s">
        <v>234</v>
      </c>
      <c r="B125" s="2" t="s">
        <v>235</v>
      </c>
    </row>
    <row r="126" spans="1:2" x14ac:dyDescent="0.3">
      <c r="A126" s="1" t="s">
        <v>242</v>
      </c>
      <c r="B126" s="2" t="s">
        <v>243</v>
      </c>
    </row>
    <row r="127" spans="1:2" x14ac:dyDescent="0.3">
      <c r="A127" s="1" t="s">
        <v>244</v>
      </c>
      <c r="B127" s="2" t="s">
        <v>245</v>
      </c>
    </row>
    <row r="128" spans="1:2" x14ac:dyDescent="0.3">
      <c r="A128" s="1" t="s">
        <v>238</v>
      </c>
      <c r="B128" s="2" t="s">
        <v>239</v>
      </c>
    </row>
    <row r="129" spans="1:2" x14ac:dyDescent="0.3">
      <c r="A129" s="1" t="s">
        <v>240</v>
      </c>
      <c r="B129" s="2" t="s">
        <v>241</v>
      </c>
    </row>
    <row r="130" spans="1:2" x14ac:dyDescent="0.3">
      <c r="A130" s="1" t="s">
        <v>246</v>
      </c>
      <c r="B130" s="2" t="s">
        <v>247</v>
      </c>
    </row>
    <row r="131" spans="1:2" x14ac:dyDescent="0.3">
      <c r="A131" s="1" t="s">
        <v>236</v>
      </c>
      <c r="B131" s="2" t="s">
        <v>237</v>
      </c>
    </row>
    <row r="132" spans="1:2" x14ac:dyDescent="0.3">
      <c r="A132" s="1" t="s">
        <v>248</v>
      </c>
      <c r="B132" s="2" t="s">
        <v>249</v>
      </c>
    </row>
    <row r="133" spans="1:2" x14ac:dyDescent="0.3">
      <c r="A133" s="1" t="s">
        <v>232</v>
      </c>
      <c r="B133" s="2" t="s">
        <v>233</v>
      </c>
    </row>
    <row r="134" spans="1:2" x14ac:dyDescent="0.3">
      <c r="A134" s="1" t="s">
        <v>250</v>
      </c>
      <c r="B134" s="2" t="s">
        <v>251</v>
      </c>
    </row>
    <row r="135" spans="1:2" x14ac:dyDescent="0.3">
      <c r="A135" s="1" t="s">
        <v>252</v>
      </c>
      <c r="B135" s="2" t="s">
        <v>253</v>
      </c>
    </row>
    <row r="136" spans="1:2" x14ac:dyDescent="0.3">
      <c r="A136" s="1"/>
      <c r="B136" s="2"/>
    </row>
    <row r="137" spans="1:2" x14ac:dyDescent="0.3">
      <c r="A137" s="1" t="s">
        <v>254</v>
      </c>
      <c r="B137" s="2" t="s">
        <v>255</v>
      </c>
    </row>
    <row r="138" spans="1:2" x14ac:dyDescent="0.3">
      <c r="A138" s="1" t="s">
        <v>256</v>
      </c>
      <c r="B138" s="2" t="s">
        <v>257</v>
      </c>
    </row>
    <row r="139" spans="1:2" x14ac:dyDescent="0.3">
      <c r="A139" s="1" t="s">
        <v>258</v>
      </c>
      <c r="B139" s="2" t="s">
        <v>259</v>
      </c>
    </row>
    <row r="140" spans="1:2" x14ac:dyDescent="0.3">
      <c r="A140" s="1" t="s">
        <v>260</v>
      </c>
      <c r="B140" s="2" t="s">
        <v>261</v>
      </c>
    </row>
    <row r="141" spans="1:2" x14ac:dyDescent="0.3">
      <c r="A141" s="1" t="s">
        <v>262</v>
      </c>
      <c r="B141" s="2" t="s">
        <v>263</v>
      </c>
    </row>
    <row r="142" spans="1:2" x14ac:dyDescent="0.3">
      <c r="A142" s="1" t="s">
        <v>264</v>
      </c>
      <c r="B142" s="2" t="s">
        <v>265</v>
      </c>
    </row>
    <row r="143" spans="1:2" x14ac:dyDescent="0.3">
      <c r="A143" s="1" t="s">
        <v>266</v>
      </c>
      <c r="B143" s="2" t="s">
        <v>267</v>
      </c>
    </row>
    <row r="144" spans="1:2" x14ac:dyDescent="0.3">
      <c r="A144" s="1" t="s">
        <v>268</v>
      </c>
      <c r="B144" s="2" t="s">
        <v>269</v>
      </c>
    </row>
    <row r="145" spans="1:2" x14ac:dyDescent="0.3">
      <c r="A145" s="1" t="s">
        <v>270</v>
      </c>
      <c r="B145" s="2" t="s">
        <v>271</v>
      </c>
    </row>
    <row r="146" spans="1:2" x14ac:dyDescent="0.3">
      <c r="A146" s="1" t="s">
        <v>272</v>
      </c>
      <c r="B146" s="2" t="s">
        <v>273</v>
      </c>
    </row>
    <row r="147" spans="1:2" x14ac:dyDescent="0.3">
      <c r="A147" s="1" t="s">
        <v>274</v>
      </c>
      <c r="B147" s="2" t="s">
        <v>275</v>
      </c>
    </row>
    <row r="148" spans="1:2" x14ac:dyDescent="0.3">
      <c r="A148" s="1" t="s">
        <v>276</v>
      </c>
      <c r="B148" s="2" t="s">
        <v>277</v>
      </c>
    </row>
    <row r="149" spans="1:2" x14ac:dyDescent="0.3">
      <c r="A149" s="1" t="s">
        <v>278</v>
      </c>
      <c r="B149" s="2" t="s">
        <v>279</v>
      </c>
    </row>
    <row r="150" spans="1:2" x14ac:dyDescent="0.3">
      <c r="A150" s="1" t="s">
        <v>280</v>
      </c>
      <c r="B150" s="2" t="s">
        <v>281</v>
      </c>
    </row>
    <row r="151" spans="1:2" x14ac:dyDescent="0.3">
      <c r="A151" s="1" t="s">
        <v>282</v>
      </c>
      <c r="B151" s="2" t="s">
        <v>283</v>
      </c>
    </row>
    <row r="152" spans="1:2" x14ac:dyDescent="0.3">
      <c r="A152" s="1" t="s">
        <v>284</v>
      </c>
      <c r="B152" s="2" t="s">
        <v>285</v>
      </c>
    </row>
    <row r="153" spans="1:2" x14ac:dyDescent="0.3">
      <c r="A153" s="4" t="s">
        <v>286</v>
      </c>
      <c r="B153" s="5" t="s">
        <v>287</v>
      </c>
    </row>
    <row r="154" spans="1:2" x14ac:dyDescent="0.3">
      <c r="A154" s="4" t="s">
        <v>288</v>
      </c>
      <c r="B154" s="5" t="s">
        <v>289</v>
      </c>
    </row>
    <row r="155" spans="1:2" x14ac:dyDescent="0.3">
      <c r="A155" s="1" t="s">
        <v>290</v>
      </c>
      <c r="B155" s="2" t="s">
        <v>291</v>
      </c>
    </row>
    <row r="156" spans="1:2" x14ac:dyDescent="0.3">
      <c r="A156" s="1" t="s">
        <v>292</v>
      </c>
      <c r="B156" s="2" t="s">
        <v>293</v>
      </c>
    </row>
    <row r="157" spans="1:2" x14ac:dyDescent="0.3">
      <c r="A157" s="1" t="s">
        <v>294</v>
      </c>
      <c r="B157" s="2" t="s">
        <v>295</v>
      </c>
    </row>
    <row r="158" spans="1:2" x14ac:dyDescent="0.3">
      <c r="A158" s="1" t="s">
        <v>296</v>
      </c>
      <c r="B158" s="2" t="s">
        <v>275</v>
      </c>
    </row>
    <row r="159" spans="1:2" x14ac:dyDescent="0.3">
      <c r="A159" s="1" t="s">
        <v>297</v>
      </c>
      <c r="B159" s="2" t="s">
        <v>277</v>
      </c>
    </row>
    <row r="160" spans="1:2" x14ac:dyDescent="0.3">
      <c r="A160" s="1" t="s">
        <v>298</v>
      </c>
      <c r="B160" s="2" t="s">
        <v>279</v>
      </c>
    </row>
    <row r="161" spans="1:2" x14ac:dyDescent="0.3">
      <c r="A161" s="1" t="s">
        <v>299</v>
      </c>
      <c r="B161" s="2" t="s">
        <v>281</v>
      </c>
    </row>
    <row r="162" spans="1:2" x14ac:dyDescent="0.3">
      <c r="A162" s="1" t="s">
        <v>300</v>
      </c>
      <c r="B162" s="2" t="s">
        <v>283</v>
      </c>
    </row>
    <row r="163" spans="1:2" x14ac:dyDescent="0.3">
      <c r="A163" s="1" t="s">
        <v>301</v>
      </c>
      <c r="B163" s="2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Конфигуратор</vt:lpstr>
      <vt:lpstr>Лист2</vt:lpstr>
      <vt:lpstr>Реле</vt:lpstr>
      <vt:lpstr>Колодки и аксессуары</vt:lpstr>
      <vt:lpstr>IRK</vt:lpstr>
      <vt:lpstr>Модули</vt:lpstr>
      <vt:lpstr>Списки</vt:lpstr>
      <vt:lpstr>Черновик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Панахов Фарид Магеррам Оглы</dc:creator>
  <cp:lastModifiedBy>Тулуева Виктория Алексеевна</cp:lastModifiedBy>
  <cp:lastPrinted>2025-12-16T08:00:49Z</cp:lastPrinted>
  <dcterms:created xsi:type="dcterms:W3CDTF">2025-12-15T06:26:13Z</dcterms:created>
  <dcterms:modified xsi:type="dcterms:W3CDTF">2026-03-25T15:12:23Z</dcterms:modified>
</cp:coreProperties>
</file>